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20" windowWidth="20370" windowHeight="9735"/>
  </bookViews>
  <sheets>
    <sheet name="Notes for using spreadsheet" sheetId="3" r:id="rId1"/>
    <sheet name="Calculations" sheetId="1" r:id="rId2"/>
    <sheet name="Our oven" sheetId="4" r:id="rId3"/>
  </sheets>
  <definedNames>
    <definedName name="Brick">Calculations!$B$6</definedName>
    <definedName name="Brick_Depth">Calculations!$B$8</definedName>
    <definedName name="Brick_height">Calculations!$B$6</definedName>
    <definedName name="Brick_Width">Calculations!$B$7</definedName>
    <definedName name="Courses">Calculations!$B$16</definedName>
    <definedName name="Diameter">Calculations!$B$3</definedName>
    <definedName name="Dome_arc">Calculations!$B$15</definedName>
    <definedName name="Dome_height">Calculations!$B$12</definedName>
    <definedName name="Dome_radius">Calculations!$B$13</definedName>
    <definedName name="Inner_arc">Calculations!$B$14</definedName>
    <definedName name="Inner_arc_angle">Calculations!$B$14</definedName>
    <definedName name="IT">Calculations!$B$11</definedName>
    <definedName name="Joint">Calculations!$B$9</definedName>
    <definedName name="Optimize_cut">Calculations!$B$10</definedName>
    <definedName name="Optimize_joint">Calculations!#REF!</definedName>
    <definedName name="pivot">Calculations!$B$4</definedName>
    <definedName name="_xlnm.Print_Area" localSheetId="1">Calculations!$A$1:$AG$22</definedName>
    <definedName name="Soldier">Calculations!$B$5</definedName>
  </definedNames>
  <calcPr calcId="101716"/>
</workbook>
</file>

<file path=xl/calcChain.xml><?xml version="1.0" encoding="utf-8"?>
<calcChain xmlns="http://schemas.openxmlformats.org/spreadsheetml/2006/main">
  <c r="B4" i="1"/>
  <c r="B14"/>
  <c r="B11"/>
  <c r="B12"/>
  <c r="B13"/>
  <c r="B15"/>
  <c r="B16"/>
  <c r="E6"/>
  <c r="E7"/>
  <c r="E8"/>
  <c r="E9"/>
  <c r="E10"/>
  <c r="E11"/>
  <c r="E12"/>
  <c r="E13"/>
  <c r="E14"/>
  <c r="E15"/>
  <c r="E16"/>
  <c r="E17"/>
  <c r="E18"/>
  <c r="E19"/>
  <c r="E20"/>
  <c r="E21"/>
  <c r="E22"/>
  <c r="P22"/>
  <c r="T22"/>
  <c r="W22"/>
  <c r="AG22"/>
  <c r="K22"/>
  <c r="Q22"/>
  <c r="U22"/>
  <c r="AF22"/>
  <c r="J22"/>
  <c r="N22"/>
  <c r="R22"/>
  <c r="AE22"/>
  <c r="I22"/>
  <c r="N21"/>
  <c r="O22"/>
  <c r="S22"/>
  <c r="AD22"/>
  <c r="H22"/>
  <c r="P21"/>
  <c r="T21"/>
  <c r="W21"/>
  <c r="AG21"/>
  <c r="K21"/>
  <c r="Q21"/>
  <c r="U21"/>
  <c r="AF21"/>
  <c r="J21"/>
  <c r="R21"/>
  <c r="AE21"/>
  <c r="I21"/>
  <c r="N20"/>
  <c r="O21"/>
  <c r="S21"/>
  <c r="AD21"/>
  <c r="H21"/>
  <c r="P20"/>
  <c r="T20"/>
  <c r="W20"/>
  <c r="AG20"/>
  <c r="K20"/>
  <c r="Q20"/>
  <c r="U20"/>
  <c r="AF20"/>
  <c r="J20"/>
  <c r="R20"/>
  <c r="AE20"/>
  <c r="I20"/>
  <c r="N19"/>
  <c r="O20"/>
  <c r="S20"/>
  <c r="AD20"/>
  <c r="H20"/>
  <c r="P19"/>
  <c r="T19"/>
  <c r="W19"/>
  <c r="AG19"/>
  <c r="K19"/>
  <c r="Q19"/>
  <c r="U19"/>
  <c r="AF19"/>
  <c r="J19"/>
  <c r="R19"/>
  <c r="AE19"/>
  <c r="I19"/>
  <c r="N18"/>
  <c r="O19"/>
  <c r="S19"/>
  <c r="AD19"/>
  <c r="H19"/>
  <c r="P18"/>
  <c r="T18"/>
  <c r="W18"/>
  <c r="AG18"/>
  <c r="K18"/>
  <c r="Q18"/>
  <c r="U18"/>
  <c r="AF18"/>
  <c r="J18"/>
  <c r="R18"/>
  <c r="AE18"/>
  <c r="I18"/>
  <c r="N17"/>
  <c r="O18"/>
  <c r="S18"/>
  <c r="AD18"/>
  <c r="H18"/>
  <c r="P17"/>
  <c r="T17"/>
  <c r="W17"/>
  <c r="AG17"/>
  <c r="K17"/>
  <c r="Q17"/>
  <c r="U17"/>
  <c r="AF17"/>
  <c r="J17"/>
  <c r="R17"/>
  <c r="AE17"/>
  <c r="I17"/>
  <c r="N16"/>
  <c r="O17"/>
  <c r="S17"/>
  <c r="AD17"/>
  <c r="H17"/>
  <c r="P16"/>
  <c r="T16"/>
  <c r="W16"/>
  <c r="AG16"/>
  <c r="K16"/>
  <c r="Q16"/>
  <c r="U16"/>
  <c r="AF16"/>
  <c r="J16"/>
  <c r="R16"/>
  <c r="AE16"/>
  <c r="I16"/>
  <c r="N15"/>
  <c r="O16"/>
  <c r="S16"/>
  <c r="AD16"/>
  <c r="H16"/>
  <c r="P15"/>
  <c r="T15"/>
  <c r="W15"/>
  <c r="AG15"/>
  <c r="K15"/>
  <c r="Q15"/>
  <c r="U15"/>
  <c r="AF15"/>
  <c r="J15"/>
  <c r="R15"/>
  <c r="AE15"/>
  <c r="I15"/>
  <c r="N14"/>
  <c r="O15"/>
  <c r="S15"/>
  <c r="AD15"/>
  <c r="H15"/>
  <c r="P14"/>
  <c r="T14"/>
  <c r="W14"/>
  <c r="AG14"/>
  <c r="K14"/>
  <c r="Q14"/>
  <c r="U14"/>
  <c r="AF14"/>
  <c r="J14"/>
  <c r="R14"/>
  <c r="AE14"/>
  <c r="I14"/>
  <c r="M3"/>
  <c r="M1"/>
  <c r="M4"/>
  <c r="M5"/>
  <c r="M6"/>
  <c r="M7"/>
  <c r="M8"/>
  <c r="M9"/>
  <c r="M10"/>
  <c r="M11"/>
  <c r="M12"/>
  <c r="M13"/>
  <c r="N13"/>
  <c r="O14"/>
  <c r="S14"/>
  <c r="AD14"/>
  <c r="H14"/>
  <c r="P13"/>
  <c r="T13"/>
  <c r="Q13"/>
  <c r="U13"/>
  <c r="W13"/>
  <c r="AG13"/>
  <c r="K13"/>
  <c r="AF13"/>
  <c r="J13"/>
  <c r="R13"/>
  <c r="AE13"/>
  <c r="I13"/>
  <c r="N12"/>
  <c r="O13"/>
  <c r="S13"/>
  <c r="AD13"/>
  <c r="H13"/>
  <c r="P12"/>
  <c r="T12"/>
  <c r="Q12"/>
  <c r="U12"/>
  <c r="W12"/>
  <c r="AG12"/>
  <c r="K12"/>
  <c r="AF12"/>
  <c r="J12"/>
  <c r="R12"/>
  <c r="AE12"/>
  <c r="I12"/>
  <c r="N11"/>
  <c r="O12"/>
  <c r="S12"/>
  <c r="AD12"/>
  <c r="H12"/>
  <c r="P11"/>
  <c r="T11"/>
  <c r="Q11"/>
  <c r="U11"/>
  <c r="W11"/>
  <c r="AG11"/>
  <c r="K11"/>
  <c r="AF11"/>
  <c r="J11"/>
  <c r="R11"/>
  <c r="AE11"/>
  <c r="I11"/>
  <c r="N10"/>
  <c r="O11"/>
  <c r="S11"/>
  <c r="AD11"/>
  <c r="H11"/>
  <c r="P10"/>
  <c r="T10"/>
  <c r="Q10"/>
  <c r="U10"/>
  <c r="G3"/>
  <c r="G4"/>
  <c r="G5"/>
  <c r="G6"/>
  <c r="G7"/>
  <c r="G8"/>
  <c r="G9"/>
  <c r="G10"/>
  <c r="W10"/>
  <c r="AG10"/>
  <c r="K10"/>
  <c r="AF10"/>
  <c r="J10"/>
  <c r="R10"/>
  <c r="AE10"/>
  <c r="I10"/>
  <c r="N9"/>
  <c r="O10"/>
  <c r="S10"/>
  <c r="AD10"/>
  <c r="H10"/>
  <c r="P9"/>
  <c r="T9"/>
  <c r="Q9"/>
  <c r="U9"/>
  <c r="W9"/>
  <c r="AG9"/>
  <c r="K9"/>
  <c r="AF9"/>
  <c r="J9"/>
  <c r="R9"/>
  <c r="AE9"/>
  <c r="I9"/>
  <c r="N8"/>
  <c r="O9"/>
  <c r="S9"/>
  <c r="AD9"/>
  <c r="H9"/>
  <c r="P8"/>
  <c r="T8"/>
  <c r="Q8"/>
  <c r="U8"/>
  <c r="W8"/>
  <c r="AG8"/>
  <c r="K8"/>
  <c r="AF8"/>
  <c r="J8"/>
  <c r="R8"/>
  <c r="AE8"/>
  <c r="I8"/>
  <c r="N7"/>
  <c r="O8"/>
  <c r="S8"/>
  <c r="AD8"/>
  <c r="H8"/>
  <c r="P7"/>
  <c r="T7"/>
  <c r="Q7"/>
  <c r="U7"/>
  <c r="W7"/>
  <c r="AG7"/>
  <c r="K7"/>
  <c r="AF7"/>
  <c r="J7"/>
  <c r="R7"/>
  <c r="AE7"/>
  <c r="I7"/>
  <c r="N6"/>
  <c r="O7"/>
  <c r="S7"/>
  <c r="AD7"/>
  <c r="H7"/>
  <c r="P6"/>
  <c r="T6"/>
  <c r="Q6"/>
  <c r="U6"/>
  <c r="W6"/>
  <c r="AG6"/>
  <c r="K6"/>
  <c r="AF6"/>
  <c r="J6"/>
  <c r="R6"/>
  <c r="AE6"/>
  <c r="I6"/>
  <c r="N5"/>
  <c r="O6"/>
  <c r="S6"/>
  <c r="AD6"/>
  <c r="H6"/>
  <c r="P5"/>
  <c r="T5"/>
  <c r="Q5"/>
  <c r="U5"/>
  <c r="W5"/>
  <c r="AG5"/>
  <c r="K5"/>
  <c r="AF5"/>
  <c r="J5"/>
  <c r="R5"/>
  <c r="AE5"/>
  <c r="I5"/>
  <c r="N4"/>
  <c r="O5"/>
  <c r="S5"/>
  <c r="AD5"/>
  <c r="H5"/>
  <c r="P4"/>
  <c r="T4"/>
  <c r="Q4"/>
  <c r="U4"/>
  <c r="W4"/>
  <c r="AG4"/>
  <c r="K4"/>
  <c r="AF4"/>
  <c r="J4"/>
  <c r="R4"/>
  <c r="AE4"/>
  <c r="I4"/>
  <c r="N3"/>
  <c r="O4"/>
  <c r="S4"/>
  <c r="AD4"/>
  <c r="H4"/>
  <c r="P3"/>
  <c r="T3"/>
  <c r="O3"/>
  <c r="Q3"/>
  <c r="U3"/>
  <c r="W3"/>
  <c r="AG3"/>
  <c r="K3"/>
  <c r="AF3"/>
  <c r="J3"/>
  <c r="R3"/>
  <c r="AE3"/>
  <c r="I3"/>
  <c r="S3"/>
  <c r="AD3"/>
  <c r="H3"/>
  <c r="B19"/>
  <c r="V22"/>
  <c r="V21"/>
  <c r="V20"/>
  <c r="V19"/>
  <c r="V18"/>
  <c r="V17"/>
  <c r="V16"/>
  <c r="V15"/>
  <c r="V14"/>
  <c r="B9"/>
  <c r="V13"/>
  <c r="V12"/>
  <c r="V11"/>
  <c r="V10"/>
  <c r="V9"/>
  <c r="V8"/>
  <c r="V7"/>
  <c r="V6"/>
  <c r="V5"/>
  <c r="V4"/>
  <c r="V3"/>
  <c r="G16"/>
  <c r="G15"/>
  <c r="M14"/>
  <c r="M15"/>
  <c r="M16"/>
  <c r="M17"/>
  <c r="G14"/>
  <c r="G17"/>
  <c r="AB22"/>
  <c r="AA22"/>
  <c r="Z22"/>
  <c r="Y22"/>
  <c r="AB21"/>
  <c r="AA21"/>
  <c r="Z21"/>
  <c r="Y21"/>
  <c r="AB20"/>
  <c r="AA20"/>
  <c r="Z20"/>
  <c r="Y20"/>
  <c r="AB19"/>
  <c r="AA19"/>
  <c r="Z19"/>
  <c r="Y19"/>
  <c r="AB18"/>
  <c r="AA18"/>
  <c r="Z18"/>
  <c r="Y18"/>
  <c r="AB17"/>
  <c r="AA17"/>
  <c r="Z17"/>
  <c r="Y17"/>
  <c r="AB16"/>
  <c r="AA16"/>
  <c r="Z16"/>
  <c r="Y16"/>
  <c r="AB15"/>
  <c r="AA15"/>
  <c r="Z15"/>
  <c r="Y15"/>
  <c r="AB14"/>
  <c r="AA14"/>
  <c r="Z14"/>
  <c r="Y14"/>
  <c r="AB13"/>
  <c r="AA13"/>
  <c r="Z13"/>
  <c r="Y13"/>
  <c r="AB12"/>
  <c r="AA12"/>
  <c r="Z12"/>
  <c r="Y12"/>
  <c r="AB11"/>
  <c r="AA11"/>
  <c r="Z11"/>
  <c r="Y11"/>
  <c r="AB10"/>
  <c r="AA10"/>
  <c r="Z10"/>
  <c r="Y10"/>
  <c r="AB9"/>
  <c r="AA9"/>
  <c r="Z9"/>
  <c r="Y9"/>
  <c r="AB8"/>
  <c r="AA8"/>
  <c r="Z8"/>
  <c r="Y8"/>
  <c r="AB7"/>
  <c r="AA7"/>
  <c r="Z7"/>
  <c r="Y7"/>
  <c r="AB6"/>
  <c r="AA6"/>
  <c r="Z6"/>
  <c r="Y6"/>
  <c r="AB5"/>
  <c r="AA5"/>
  <c r="Z5"/>
  <c r="Y5"/>
  <c r="AB4"/>
  <c r="AA4"/>
  <c r="Z4"/>
  <c r="Y4"/>
  <c r="AB3"/>
  <c r="AA3"/>
  <c r="Z3"/>
  <c r="Y3"/>
  <c r="G22"/>
  <c r="G21"/>
  <c r="G20"/>
  <c r="G19"/>
  <c r="G18"/>
  <c r="M22"/>
  <c r="M21"/>
  <c r="M20"/>
  <c r="M19"/>
  <c r="M18"/>
  <c r="B17"/>
</calcChain>
</file>

<file path=xl/sharedStrings.xml><?xml version="1.0" encoding="utf-8"?>
<sst xmlns="http://schemas.openxmlformats.org/spreadsheetml/2006/main" count="174" uniqueCount="120">
  <si>
    <t>Explanation</t>
  </si>
  <si>
    <t>Oven diameter</t>
  </si>
  <si>
    <t>Diameter of a circle that will give a constant arc for a dome based on  desired dome height and soldier course height</t>
  </si>
  <si>
    <t>Length of arc from dome center to soldier bricks - interior face one side of dome</t>
  </si>
  <si>
    <t>Height of the inside facing edge of standard bricks (normally 2.5")</t>
  </si>
  <si>
    <t>Height that   vertical bricks extend above the floor - installed either as soldiers or sailors</t>
  </si>
  <si>
    <t>Height of inside of dome using a fixed length IT</t>
  </si>
  <si>
    <t>Default is 1/8"</t>
  </si>
  <si>
    <t>Soldier</t>
  </si>
  <si>
    <t>Depth of brick that will be the thickness of dome (normally 4.5")</t>
  </si>
  <si>
    <t>Include thickness of any plywood + any distance of the pivot point from the surface</t>
  </si>
  <si>
    <t>Number of full height courses beyond the soldier to complete dome</t>
  </si>
  <si>
    <t>Course</t>
  </si>
  <si>
    <t>Course Number</t>
  </si>
  <si>
    <r>
      <t xml:space="preserve">Input oven dimensions all in </t>
    </r>
    <r>
      <rPr>
        <b/>
        <i/>
        <sz val="11"/>
        <color indexed="8"/>
        <rFont val="Calibri"/>
        <family val="2"/>
      </rPr>
      <t>inches</t>
    </r>
    <r>
      <rPr>
        <b/>
        <sz val="11"/>
        <color indexed="8"/>
        <rFont val="Calibri"/>
        <family val="2"/>
      </rPr>
      <t xml:space="preserve">
</t>
    </r>
    <r>
      <rPr>
        <b/>
        <sz val="36"/>
        <color indexed="8"/>
        <rFont val="Calibri"/>
        <family val="2"/>
      </rPr>
      <t>↓</t>
    </r>
  </si>
  <si>
    <t>Pivot point to flat end, based on inputs</t>
  </si>
  <si>
    <t>Width of a standard brick (normally 4.5")</t>
  </si>
  <si>
    <t>Not exact, as it assumes hemisphere shape w/out entry arch</t>
  </si>
  <si>
    <t>Inner dimensions of the plug, should be less than 2 bricks wide</t>
  </si>
  <si>
    <t>Rough Brick Count (what to order)</t>
  </si>
  <si>
    <r>
      <t xml:space="preserve">Oven size </t>
    </r>
    <r>
      <rPr>
        <b/>
        <sz val="11"/>
        <color indexed="10"/>
        <rFont val="Calibri"/>
        <family val="2"/>
      </rPr>
      <t>(diameter)</t>
    </r>
  </si>
  <si>
    <r>
      <t>Distance from IT Pivot to Dome Floor</t>
    </r>
    <r>
      <rPr>
        <b/>
        <sz val="11"/>
        <color indexed="10"/>
        <rFont val="Calibri"/>
        <family val="2"/>
      </rPr>
      <t xml:space="preserve"> (pivot)</t>
    </r>
  </si>
  <si>
    <r>
      <t xml:space="preserve">Height of soldier course(s) </t>
    </r>
    <r>
      <rPr>
        <b/>
        <sz val="11"/>
        <color indexed="10"/>
        <rFont val="Calibri"/>
        <family val="2"/>
      </rPr>
      <t>(Soldier)</t>
    </r>
  </si>
  <si>
    <r>
      <t xml:space="preserve">Dome height </t>
    </r>
    <r>
      <rPr>
        <sz val="11"/>
        <color theme="1"/>
        <rFont val="Calibri"/>
        <family val="2"/>
        <scheme val="minor"/>
      </rPr>
      <t xml:space="preserve">(inches) </t>
    </r>
    <r>
      <rPr>
        <sz val="11"/>
        <color indexed="10"/>
        <rFont val="Calibri"/>
        <family val="2"/>
      </rPr>
      <t>(Dome_height)</t>
    </r>
  </si>
  <si>
    <r>
      <t xml:space="preserve">Effective Radius </t>
    </r>
    <r>
      <rPr>
        <sz val="11"/>
        <color theme="1"/>
        <rFont val="Calibri"/>
        <family val="2"/>
        <scheme val="minor"/>
      </rPr>
      <t xml:space="preserve">(inches) </t>
    </r>
    <r>
      <rPr>
        <sz val="11"/>
        <color indexed="10"/>
        <rFont val="Calibri"/>
        <family val="2"/>
      </rPr>
      <t>(Dome radius)</t>
    </r>
  </si>
  <si>
    <r>
      <t xml:space="preserve">Brick Height </t>
    </r>
    <r>
      <rPr>
        <b/>
        <sz val="11"/>
        <color indexed="10"/>
        <rFont val="Calibri"/>
        <family val="2"/>
      </rPr>
      <t>(Brick)</t>
    </r>
  </si>
  <si>
    <r>
      <t xml:space="preserve">Inner Arc Length </t>
    </r>
    <r>
      <rPr>
        <sz val="11"/>
        <color theme="1"/>
        <rFont val="Calibri"/>
        <family val="2"/>
        <scheme val="minor"/>
      </rPr>
      <t xml:space="preserve"> (inches) </t>
    </r>
    <r>
      <rPr>
        <sz val="11"/>
        <color indexed="10"/>
        <rFont val="Calibri"/>
        <family val="2"/>
      </rPr>
      <t>(Dome_arc)</t>
    </r>
  </si>
  <si>
    <r>
      <t>Length of IT</t>
    </r>
    <r>
      <rPr>
        <sz val="11"/>
        <color theme="1"/>
        <rFont val="Calibri"/>
        <family val="2"/>
        <scheme val="minor"/>
      </rPr>
      <t xml:space="preserve"> (inches) </t>
    </r>
    <r>
      <rPr>
        <sz val="11"/>
        <color indexed="10"/>
        <rFont val="Calibri"/>
        <family val="2"/>
      </rPr>
      <t>(IT)</t>
    </r>
  </si>
  <si>
    <r>
      <t>Courses</t>
    </r>
    <r>
      <rPr>
        <b/>
        <sz val="11"/>
        <color indexed="10"/>
        <rFont val="Calibri"/>
        <family val="2"/>
      </rPr>
      <t xml:space="preserve"> (Courses)</t>
    </r>
  </si>
  <si>
    <r>
      <t xml:space="preserve">Brick Width </t>
    </r>
    <r>
      <rPr>
        <b/>
        <sz val="11"/>
        <color indexed="10"/>
        <rFont val="Calibri"/>
        <family val="2"/>
      </rPr>
      <t>(Brick_Width)</t>
    </r>
  </si>
  <si>
    <r>
      <t xml:space="preserve">Mortar Joint size </t>
    </r>
    <r>
      <rPr>
        <b/>
        <sz val="11"/>
        <color indexed="10"/>
        <rFont val="Calibri"/>
        <family val="2"/>
      </rPr>
      <t>(Joint)</t>
    </r>
  </si>
  <si>
    <r>
      <t xml:space="preserve">Brick Depth </t>
    </r>
    <r>
      <rPr>
        <b/>
        <sz val="11"/>
        <color indexed="10"/>
        <rFont val="Calibri"/>
        <family val="2"/>
      </rPr>
      <t>(Brick_Depth)</t>
    </r>
  </si>
  <si>
    <r>
      <t xml:space="preserve">Dome </t>
    </r>
    <r>
      <rPr>
        <b/>
        <sz val="11"/>
        <color indexed="10"/>
        <rFont val="Calibri"/>
        <family val="2"/>
      </rPr>
      <t xml:space="preserve"> (none)</t>
    </r>
  </si>
  <si>
    <r>
      <t>Plug size</t>
    </r>
    <r>
      <rPr>
        <sz val="11"/>
        <color theme="1"/>
        <rFont val="Calibri"/>
        <family val="2"/>
        <scheme val="minor"/>
      </rPr>
      <t xml:space="preserve"> (inches)</t>
    </r>
    <r>
      <rPr>
        <sz val="11"/>
        <color indexed="10"/>
        <rFont val="Calibri"/>
        <family val="2"/>
      </rPr>
      <t xml:space="preserve"> (none)</t>
    </r>
  </si>
  <si>
    <r>
      <t xml:space="preserve">Inner Arc Angle </t>
    </r>
    <r>
      <rPr>
        <b/>
        <sz val="11"/>
        <color indexed="10"/>
        <rFont val="Calibri"/>
        <family val="2"/>
      </rPr>
      <t>(inner_arc_angle or Inner_arc)</t>
    </r>
  </si>
  <si>
    <r>
      <t>Cut Brick Dimensions w/ Mortar</t>
    </r>
    <r>
      <rPr>
        <sz val="12"/>
        <color indexed="8"/>
        <rFont val="Calibri"/>
        <family val="2"/>
      </rPr>
      <t>(inches)</t>
    </r>
    <r>
      <rPr>
        <b/>
        <sz val="14"/>
        <color indexed="8"/>
        <rFont val="Calibri"/>
        <family val="2"/>
      </rPr>
      <t xml:space="preserve">
</t>
    </r>
    <r>
      <rPr>
        <sz val="11"/>
        <color theme="1"/>
        <rFont val="Calibri"/>
        <family val="2"/>
        <scheme val="minor"/>
      </rPr>
      <t>(inches)</t>
    </r>
  </si>
  <si>
    <r>
      <t>Cut Brick Dimensions w/o Mortar</t>
    </r>
    <r>
      <rPr>
        <sz val="12"/>
        <color indexed="8"/>
        <rFont val="Calibri"/>
        <family val="2"/>
      </rPr>
      <t>(inches)</t>
    </r>
    <r>
      <rPr>
        <b/>
        <sz val="14"/>
        <color indexed="8"/>
        <rFont val="Calibri"/>
        <family val="2"/>
      </rPr>
      <t xml:space="preserve">
</t>
    </r>
    <r>
      <rPr>
        <sz val="11"/>
        <color theme="1"/>
        <rFont val="Calibri"/>
        <family val="2"/>
        <scheme val="minor"/>
      </rPr>
      <t>(inches)</t>
    </r>
  </si>
  <si>
    <t>inner circumference at top of brick (inches)</t>
  </si>
  <si>
    <t>outer circumference at top of brick (inches)</t>
  </si>
  <si>
    <t>outer radius at bottom of brick layer (inches)</t>
  </si>
  <si>
    <t>inner circumference at bottom of brick (inches)</t>
  </si>
  <si>
    <t>outer circumference at bottom of brick (inches)</t>
  </si>
  <si>
    <t>No. bricks per layer w motar joint (touch bottom outside)</t>
  </si>
  <si>
    <t>No. bricks per layer w/o motar joint (touch bottom outside)</t>
  </si>
  <si>
    <t>inner radius at 
bottom of brick layer
 (inches)</t>
  </si>
  <si>
    <t>inner radius at
top of brick layer 
(inches)</t>
  </si>
  <si>
    <t xml:space="preserve">outer radius at top of brick layer </t>
  </si>
  <si>
    <t>Outside Bottom
Unique to each course if want
 (inches)
type in new brick width here for a specific layer</t>
  </si>
  <si>
    <t>Top of brick angle 
from floor</t>
  </si>
  <si>
    <t>Inside Bottom (inside bottom circ/no bricks))</t>
  </si>
  <si>
    <t>Inside Top
 - inside top circ/no bricks)</t>
  </si>
  <si>
    <t>Outside Bottom (ouside bot circ/no bricks)</t>
  </si>
  <si>
    <t>Outside Top (outside top circ/no bricks)</t>
  </si>
  <si>
    <t>Outside Top dia</t>
  </si>
  <si>
    <t>Inside Top dia</t>
  </si>
  <si>
    <t>Inside Bottom dia</t>
  </si>
  <si>
    <t>40 or 39 7/8</t>
  </si>
  <si>
    <t>34 1/8 or 34 1/4</t>
  </si>
  <si>
    <t>29 3/16 or 29 1/8"</t>
  </si>
  <si>
    <t>20/4</t>
  </si>
  <si>
    <t>19/5</t>
  </si>
  <si>
    <t>23/1</t>
  </si>
  <si>
    <t>23 floor and 24 soldier</t>
  </si>
  <si>
    <t>Cut Brick Dimensions w/ Mortar(inches)
(inches)</t>
  </si>
  <si>
    <t>Calculated for a 36" oven and saved dimensions</t>
  </si>
  <si>
    <t>sketchup # of bricks</t>
  </si>
  <si>
    <t>24 &amp; partial</t>
  </si>
  <si>
    <t>23 + partial</t>
  </si>
  <si>
    <t>23+partial</t>
  </si>
  <si>
    <t>21 + partial</t>
  </si>
  <si>
    <t>16 + partial</t>
  </si>
  <si>
    <t>10 + partial</t>
  </si>
  <si>
    <t>2 for plug</t>
  </si>
  <si>
    <t>no of bricks (calc)</t>
  </si>
  <si>
    <t>actual no of bricks (normal/special)</t>
  </si>
  <si>
    <t>31 7/8 or 31 3/4</t>
  </si>
  <si>
    <t>Degrees of the circle that form the arc from soldiers to top of dome</t>
  </si>
  <si>
    <t>25 3/4-26</t>
  </si>
  <si>
    <t>29 3/16-29 1/8</t>
  </si>
  <si>
    <t>24 ish</t>
  </si>
  <si>
    <t>19/3</t>
  </si>
  <si>
    <t>27 13/16-27 15/16</t>
  </si>
  <si>
    <t>21 7/8-22</t>
  </si>
  <si>
    <t>Measured on our 36" oven</t>
  </si>
  <si>
    <t>cells highlighted in pink are measurements for our oven and do not change in this spreadsheet.</t>
  </si>
  <si>
    <t>Our oven tab does not change calculations</t>
  </si>
  <si>
    <t>Oven size (diameter)</t>
  </si>
  <si>
    <t>Distance from IT Pivot to Dome Floor (pivot)</t>
  </si>
  <si>
    <t>Height of soldier course(s) (Soldier)</t>
  </si>
  <si>
    <t>Brick Height (Brick)</t>
  </si>
  <si>
    <t>Brick Width (Brick_Width)</t>
  </si>
  <si>
    <t>Brick Depth (Brick_Depth)</t>
  </si>
  <si>
    <t>Mortar Joint size (Joint)</t>
  </si>
  <si>
    <t>Length of IT (inches) (IT)</t>
  </si>
  <si>
    <t>Dome height (inches) (Dome_height)</t>
  </si>
  <si>
    <t>Effective Radius (inches) (Dome radius)</t>
  </si>
  <si>
    <t>Inner Arc Angle (inner_arc_angle or Inner_arc)</t>
  </si>
  <si>
    <t>Inner Arc Length  (inches) (Dome_arc)</t>
  </si>
  <si>
    <t>Courses (Courses)</t>
  </si>
  <si>
    <t>Plug size (inches) (none)</t>
  </si>
  <si>
    <t>Dome  (none)</t>
  </si>
  <si>
    <t>Our 36" Oven - not calculations!!</t>
  </si>
  <si>
    <t>3 5/8*</t>
  </si>
  <si>
    <t>Cut Brick Dimensions w/o Mortar(inches)
(* different than calculated)</t>
  </si>
  <si>
    <t>3 9/16*</t>
  </si>
  <si>
    <t>2 1/8*</t>
  </si>
  <si>
    <t>13/16*</t>
  </si>
  <si>
    <t>cells colored like this are just copied from the calc spreadsheet so that the column labels are the same.</t>
  </si>
  <si>
    <t>Our oven dimensions all in inches
↓</t>
  </si>
  <si>
    <t xml:space="preserve">Outside Bottom
Unique to each course if want
 (inches)
</t>
  </si>
  <si>
    <t>Not exact, as it assumes hemisphere shape w/out entry arch (we used 173 for project)</t>
  </si>
  <si>
    <t>password = WFO</t>
  </si>
  <si>
    <t>this yellow color cell can be changed for your oven (although I do not know for sure how accurate it will be for other sizes.</t>
  </si>
  <si>
    <t>this blue color can be changed for a particular level - like if you want to use like 3" wide bricks.  If you change one level, the next levels automatically adjust to that dimension, unless you change it manually.</t>
  </si>
  <si>
    <t>This color highlights the results we used…. Adjusted by the sketchup model dimensions.  Our oven includes the actual dimensions we used to build our oven and which ones are diffferent from the calculations.</t>
  </si>
  <si>
    <t>Graphic for Tilt and Side Angle came from Deejoy.  The M &amp; N columns do not apply to this spreadsheet</t>
  </si>
  <si>
    <t>the "Calculations" tab is where you can put in your numbers.</t>
  </si>
  <si>
    <t>Cut Brick Dimensions w/o Mortar(inches)
(inches)</t>
  </si>
  <si>
    <t>Calculations</t>
  </si>
  <si>
    <t>Password = WFO to unprotect any sheet</t>
  </si>
</sst>
</file>

<file path=xl/styles.xml><?xml version="1.0" encoding="utf-8"?>
<styleSheet xmlns="http://schemas.openxmlformats.org/spreadsheetml/2006/main">
  <numFmts count="8">
    <numFmt numFmtId="43" formatCode="_(* #,##0.00_);_(* \(#,##0.00\);_(* &quot;-&quot;??_);_(@_)"/>
    <numFmt numFmtId="164" formatCode="_(* #,##0.0_);_(* \(#,##0.0\);_(* &quot;-&quot;??_);_(@_)"/>
    <numFmt numFmtId="165" formatCode="_(* #,##0_);_(* \(#,##0\);_(* &quot;-&quot;??_);_(@_)"/>
    <numFmt numFmtId="166" formatCode="_(* #,##0.000_);_(* \(#,##0.000\);_(* &quot;-&quot;??_);_(@_)"/>
    <numFmt numFmtId="167" formatCode="0.0"/>
    <numFmt numFmtId="168" formatCode="0.0000"/>
    <numFmt numFmtId="169" formatCode="#\ ??/16"/>
    <numFmt numFmtId="170" formatCode="#\ ?/8"/>
  </numFmts>
  <fonts count="12">
    <font>
      <sz val="11"/>
      <color theme="1"/>
      <name val="Calibri"/>
      <family val="2"/>
      <scheme val="minor"/>
    </font>
    <font>
      <sz val="11"/>
      <color indexed="8"/>
      <name val="Calibri"/>
      <family val="2"/>
    </font>
    <font>
      <b/>
      <sz val="11"/>
      <color indexed="8"/>
      <name val="Calibri"/>
      <family val="2"/>
    </font>
    <font>
      <b/>
      <sz val="36"/>
      <color indexed="8"/>
      <name val="Calibri"/>
      <family val="2"/>
    </font>
    <font>
      <b/>
      <sz val="14"/>
      <color indexed="8"/>
      <name val="Calibri"/>
      <family val="2"/>
    </font>
    <font>
      <sz val="14"/>
      <color indexed="8"/>
      <name val="Calibri"/>
      <family val="2"/>
    </font>
    <font>
      <b/>
      <i/>
      <sz val="11"/>
      <color indexed="8"/>
      <name val="Calibri"/>
      <family val="2"/>
    </font>
    <font>
      <sz val="12"/>
      <color indexed="8"/>
      <name val="Calibri"/>
      <family val="2"/>
    </font>
    <font>
      <b/>
      <u/>
      <sz val="11"/>
      <color indexed="8"/>
      <name val="Calibri"/>
      <family val="2"/>
    </font>
    <font>
      <sz val="8"/>
      <name val="Calibri"/>
      <family val="2"/>
    </font>
    <font>
      <sz val="11"/>
      <color indexed="10"/>
      <name val="Calibri"/>
      <family val="2"/>
    </font>
    <font>
      <b/>
      <sz val="11"/>
      <color indexed="10"/>
      <name val="Calibri"/>
      <family val="2"/>
    </font>
  </fonts>
  <fills count="9">
    <fill>
      <patternFill patternType="none"/>
    </fill>
    <fill>
      <patternFill patternType="gray125"/>
    </fill>
    <fill>
      <patternFill patternType="solid">
        <fgColor indexed="51"/>
        <bgColor indexed="64"/>
      </patternFill>
    </fill>
    <fill>
      <patternFill patternType="solid">
        <fgColor indexed="12"/>
        <bgColor indexed="64"/>
      </patternFill>
    </fill>
    <fill>
      <patternFill patternType="solid">
        <fgColor indexed="45"/>
        <bgColor indexed="64"/>
      </patternFill>
    </fill>
    <fill>
      <patternFill patternType="solid">
        <fgColor indexed="44"/>
        <bgColor indexed="64"/>
      </patternFill>
    </fill>
    <fill>
      <patternFill patternType="solid">
        <fgColor indexed="57"/>
        <bgColor indexed="64"/>
      </patternFill>
    </fill>
    <fill>
      <patternFill patternType="solid">
        <fgColor indexed="41"/>
        <bgColor indexed="64"/>
      </patternFill>
    </fill>
    <fill>
      <patternFill patternType="lightDown">
        <fgColor indexed="9"/>
        <bgColor indexed="45"/>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57">
    <xf numFmtId="0" fontId="0" fillId="0" borderId="0" xfId="0"/>
    <xf numFmtId="0" fontId="0" fillId="0" borderId="0" xfId="0" applyAlignment="1">
      <alignment vertical="top"/>
    </xf>
    <xf numFmtId="43" fontId="0" fillId="0" borderId="0" xfId="1" applyNumberFormat="1" applyFont="1"/>
    <xf numFmtId="0" fontId="2" fillId="0" borderId="0" xfId="0" applyFont="1" applyAlignment="1">
      <alignment horizontal="right" vertical="top" wrapText="1"/>
    </xf>
    <xf numFmtId="43" fontId="0" fillId="2" borderId="1" xfId="1" applyNumberFormat="1" applyFont="1" applyFill="1" applyBorder="1" applyAlignment="1">
      <alignment vertical="center"/>
    </xf>
    <xf numFmtId="43" fontId="0" fillId="2" borderId="1" xfId="1" applyNumberFormat="1" applyFont="1" applyFill="1" applyBorder="1" applyAlignment="1">
      <alignment horizontal="right" vertical="center"/>
    </xf>
    <xf numFmtId="0" fontId="2" fillId="0" borderId="0" xfId="0" applyFont="1" applyAlignment="1">
      <alignment wrapText="1"/>
    </xf>
    <xf numFmtId="0" fontId="5" fillId="0" borderId="0" xfId="0" applyFont="1"/>
    <xf numFmtId="166" fontId="0" fillId="2" borderId="1" xfId="1" applyNumberFormat="1" applyFont="1" applyFill="1" applyBorder="1" applyAlignment="1">
      <alignment vertical="center"/>
    </xf>
    <xf numFmtId="0" fontId="0" fillId="3" borderId="0" xfId="0" applyFill="1"/>
    <xf numFmtId="0" fontId="0" fillId="0" borderId="0" xfId="0" applyFill="1"/>
    <xf numFmtId="43" fontId="0" fillId="0" borderId="0" xfId="1" applyNumberFormat="1" applyFont="1" applyFill="1" applyBorder="1"/>
    <xf numFmtId="0" fontId="2" fillId="0" borderId="1" xfId="0" applyFont="1" applyFill="1" applyBorder="1" applyAlignment="1">
      <alignment horizontal="center" wrapText="1"/>
    </xf>
    <xf numFmtId="0" fontId="4" fillId="0" borderId="1" xfId="0" applyFont="1" applyBorder="1" applyAlignment="1">
      <alignment horizontal="right" vertical="top" wrapText="1"/>
    </xf>
    <xf numFmtId="0" fontId="5" fillId="0" borderId="1" xfId="0" applyFont="1" applyBorder="1" applyAlignment="1">
      <alignment vertical="top"/>
    </xf>
    <xf numFmtId="0" fontId="5" fillId="0" borderId="1" xfId="0" applyFont="1" applyBorder="1"/>
    <xf numFmtId="0" fontId="5" fillId="3" borderId="1" xfId="0" applyFont="1" applyFill="1" applyBorder="1"/>
    <xf numFmtId="0" fontId="0" fillId="0" borderId="1" xfId="0" applyFont="1" applyBorder="1" applyAlignment="1">
      <alignment horizontal="right" wrapText="1"/>
    </xf>
    <xf numFmtId="0" fontId="2" fillId="0" borderId="1" xfId="0" applyFont="1" applyBorder="1" applyAlignment="1">
      <alignment wrapText="1"/>
    </xf>
    <xf numFmtId="0" fontId="2" fillId="3" borderId="1" xfId="0" applyFont="1" applyFill="1" applyBorder="1" applyAlignment="1">
      <alignment wrapText="1"/>
    </xf>
    <xf numFmtId="0" fontId="2" fillId="0" borderId="1" xfId="0" applyFont="1" applyBorder="1" applyAlignment="1">
      <alignment horizontal="right" vertical="center" wrapText="1"/>
    </xf>
    <xf numFmtId="0" fontId="0" fillId="0" borderId="1" xfId="0" applyBorder="1" applyAlignment="1">
      <alignment vertical="center" wrapText="1"/>
    </xf>
    <xf numFmtId="0" fontId="0" fillId="0" borderId="1" xfId="0" applyBorder="1"/>
    <xf numFmtId="0" fontId="0" fillId="3" borderId="1" xfId="0" applyFill="1" applyBorder="1"/>
    <xf numFmtId="0" fontId="0" fillId="0" borderId="1" xfId="0" applyBorder="1" applyAlignment="1">
      <alignment vertical="center"/>
    </xf>
    <xf numFmtId="43" fontId="0" fillId="0" borderId="1" xfId="1" applyNumberFormat="1" applyFont="1" applyBorder="1" applyAlignment="1">
      <alignment vertical="center"/>
    </xf>
    <xf numFmtId="164" fontId="0" fillId="4" borderId="1" xfId="1" applyNumberFormat="1" applyFont="1" applyFill="1" applyBorder="1" applyAlignment="1">
      <alignment vertical="center"/>
    </xf>
    <xf numFmtId="164" fontId="0" fillId="0" borderId="1" xfId="1" applyNumberFormat="1" applyFont="1" applyFill="1" applyBorder="1" applyAlignment="1">
      <alignment vertical="center"/>
    </xf>
    <xf numFmtId="165" fontId="0" fillId="0" borderId="1" xfId="1" applyNumberFormat="1" applyFont="1" applyFill="1" applyBorder="1" applyAlignment="1">
      <alignment vertical="center"/>
    </xf>
    <xf numFmtId="165" fontId="4" fillId="0" borderId="1" xfId="1" applyNumberFormat="1" applyFont="1" applyFill="1" applyBorder="1" applyAlignment="1">
      <alignment horizontal="right"/>
    </xf>
    <xf numFmtId="165" fontId="2" fillId="0" borderId="0" xfId="1" applyNumberFormat="1" applyFont="1" applyFill="1"/>
    <xf numFmtId="0" fontId="5" fillId="0" borderId="1" xfId="0" applyFont="1" applyFill="1" applyBorder="1"/>
    <xf numFmtId="0" fontId="2" fillId="0" borderId="1" xfId="0" applyFont="1" applyFill="1" applyBorder="1" applyAlignment="1">
      <alignment wrapText="1"/>
    </xf>
    <xf numFmtId="0" fontId="2" fillId="5" borderId="1" xfId="0" applyFont="1" applyFill="1" applyBorder="1" applyAlignment="1">
      <alignment horizontal="center" wrapText="1"/>
    </xf>
    <xf numFmtId="43" fontId="0" fillId="0" borderId="2" xfId="1" applyNumberFormat="1" applyFont="1" applyFill="1" applyBorder="1"/>
    <xf numFmtId="0" fontId="5" fillId="0" borderId="0" xfId="0" applyFont="1" applyFill="1"/>
    <xf numFmtId="169" fontId="0" fillId="0" borderId="1" xfId="1" applyNumberFormat="1" applyFont="1" applyFill="1" applyBorder="1" applyAlignment="1">
      <alignment horizontal="right" vertical="center"/>
    </xf>
    <xf numFmtId="169" fontId="0" fillId="0" borderId="1" xfId="1" applyNumberFormat="1" applyFont="1" applyFill="1" applyBorder="1" applyAlignment="1">
      <alignment vertical="center"/>
    </xf>
    <xf numFmtId="167" fontId="5" fillId="6" borderId="1" xfId="0" applyNumberFormat="1" applyFont="1" applyFill="1" applyBorder="1"/>
    <xf numFmtId="0" fontId="2" fillId="0" borderId="0" xfId="0" applyFont="1" applyFill="1" applyAlignment="1">
      <alignment wrapText="1"/>
    </xf>
    <xf numFmtId="169" fontId="0" fillId="0" borderId="0" xfId="0" applyNumberFormat="1" applyFill="1"/>
    <xf numFmtId="0" fontId="4" fillId="7" borderId="1" xfId="0" applyFont="1" applyFill="1" applyBorder="1" applyAlignment="1">
      <alignment horizontal="center"/>
    </xf>
    <xf numFmtId="164" fontId="2" fillId="7" borderId="1" xfId="1" applyNumberFormat="1" applyFont="1" applyFill="1" applyBorder="1" applyAlignment="1">
      <alignment horizontal="center" wrapText="1"/>
    </xf>
    <xf numFmtId="0" fontId="2" fillId="7" borderId="1" xfId="0" applyFont="1" applyFill="1" applyBorder="1" applyAlignment="1">
      <alignment horizontal="center" wrapText="1"/>
    </xf>
    <xf numFmtId="169" fontId="0" fillId="7" borderId="1" xfId="1" applyNumberFormat="1" applyFont="1" applyFill="1" applyBorder="1"/>
    <xf numFmtId="2" fontId="0" fillId="0" borderId="0" xfId="0" applyNumberFormat="1"/>
    <xf numFmtId="0" fontId="0" fillId="0" borderId="0" xfId="0" applyAlignment="1">
      <alignment horizontal="center"/>
    </xf>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5" fillId="4" borderId="7" xfId="0" applyFont="1" applyFill="1" applyBorder="1" applyAlignment="1">
      <alignment horizontal="center"/>
    </xf>
    <xf numFmtId="0" fontId="2" fillId="4" borderId="8" xfId="0" applyFont="1" applyFill="1" applyBorder="1" applyAlignment="1">
      <alignment wrapText="1"/>
    </xf>
    <xf numFmtId="0" fontId="2" fillId="4" borderId="1" xfId="0" applyFont="1" applyFill="1" applyBorder="1" applyAlignment="1">
      <alignment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2" fillId="4" borderId="11" xfId="0" applyFont="1" applyFill="1" applyBorder="1" applyAlignment="1">
      <alignment horizontal="center" wrapText="1"/>
    </xf>
    <xf numFmtId="169" fontId="0" fillId="4" borderId="8" xfId="0" applyNumberFormat="1" applyFill="1" applyBorder="1"/>
    <xf numFmtId="169" fontId="0" fillId="4" borderId="1" xfId="0" applyNumberFormat="1" applyFill="1" applyBorder="1"/>
    <xf numFmtId="2" fontId="0" fillId="4" borderId="9" xfId="0" applyNumberFormat="1" applyFill="1" applyBorder="1"/>
    <xf numFmtId="2" fontId="0" fillId="4" borderId="10" xfId="0" applyNumberFormat="1" applyFill="1" applyBorder="1"/>
    <xf numFmtId="0" fontId="0" fillId="4" borderId="8" xfId="0" applyFill="1" applyBorder="1"/>
    <xf numFmtId="0" fontId="0" fillId="4" borderId="1" xfId="0" applyFill="1" applyBorder="1"/>
    <xf numFmtId="0" fontId="0" fillId="4" borderId="11" xfId="0" applyFill="1" applyBorder="1" applyAlignment="1">
      <alignment horizontal="center"/>
    </xf>
    <xf numFmtId="0" fontId="0" fillId="4" borderId="11" xfId="0" quotePrefix="1" applyFill="1" applyBorder="1" applyAlignment="1">
      <alignment horizontal="center"/>
    </xf>
    <xf numFmtId="0" fontId="0" fillId="4" borderId="1" xfId="0" quotePrefix="1" applyFill="1" applyBorder="1"/>
    <xf numFmtId="12" fontId="0" fillId="4" borderId="8" xfId="0" applyNumberFormat="1" applyFill="1" applyBorder="1"/>
    <xf numFmtId="12" fontId="0" fillId="4" borderId="1" xfId="0" applyNumberFormat="1" applyFill="1" applyBorder="1"/>
    <xf numFmtId="169" fontId="0" fillId="4" borderId="12" xfId="0" applyNumberFormat="1" applyFill="1" applyBorder="1"/>
    <xf numFmtId="169" fontId="0" fillId="4" borderId="13" xfId="0" applyNumberFormat="1" applyFill="1" applyBorder="1"/>
    <xf numFmtId="2" fontId="0" fillId="4" borderId="14" xfId="0" applyNumberFormat="1" applyFill="1" applyBorder="1"/>
    <xf numFmtId="2" fontId="0" fillId="4" borderId="15" xfId="0" applyNumberFormat="1" applyFill="1" applyBorder="1"/>
    <xf numFmtId="0" fontId="0" fillId="4" borderId="12" xfId="0" applyFill="1" applyBorder="1"/>
    <xf numFmtId="0" fontId="0" fillId="4" borderId="13" xfId="0" applyFill="1" applyBorder="1"/>
    <xf numFmtId="0" fontId="0" fillId="4" borderId="16" xfId="0" applyFill="1" applyBorder="1" applyAlignment="1">
      <alignment horizontal="center"/>
    </xf>
    <xf numFmtId="0" fontId="4" fillId="4" borderId="1" xfId="0" applyFont="1" applyFill="1" applyBorder="1" applyAlignment="1">
      <alignment horizontal="right" vertical="top" wrapText="1"/>
    </xf>
    <xf numFmtId="0" fontId="2" fillId="4" borderId="1" xfId="0" applyFont="1" applyFill="1" applyBorder="1" applyAlignment="1">
      <alignment horizontal="center" wrapText="1"/>
    </xf>
    <xf numFmtId="164" fontId="2" fillId="4" borderId="1" xfId="1" applyNumberFormat="1" applyFont="1" applyFill="1" applyBorder="1" applyAlignment="1">
      <alignment horizontal="center" wrapText="1"/>
    </xf>
    <xf numFmtId="0" fontId="5" fillId="8" borderId="0" xfId="0" applyFont="1" applyFill="1"/>
    <xf numFmtId="167" fontId="5" fillId="8" borderId="1" xfId="0" applyNumberFormat="1" applyFont="1" applyFill="1" applyBorder="1"/>
    <xf numFmtId="0" fontId="5" fillId="8" borderId="1" xfId="0" applyFont="1" applyFill="1" applyBorder="1"/>
    <xf numFmtId="168" fontId="0" fillId="8" borderId="1" xfId="0" applyNumberFormat="1" applyFill="1" applyBorder="1"/>
    <xf numFmtId="2" fontId="5" fillId="8" borderId="1" xfId="0" applyNumberFormat="1" applyFont="1" applyFill="1" applyBorder="1"/>
    <xf numFmtId="2" fontId="5" fillId="8" borderId="0" xfId="0" applyNumberFormat="1" applyFont="1" applyFill="1"/>
    <xf numFmtId="0" fontId="4" fillId="8" borderId="1" xfId="0" applyFont="1" applyFill="1" applyBorder="1" applyAlignment="1">
      <alignment horizontal="center"/>
    </xf>
    <xf numFmtId="0" fontId="2" fillId="8" borderId="1" xfId="0" applyFont="1" applyFill="1" applyBorder="1" applyAlignment="1">
      <alignment horizontal="center" wrapText="1"/>
    </xf>
    <xf numFmtId="0" fontId="2" fillId="8" borderId="1" xfId="0" applyFont="1" applyFill="1" applyBorder="1" applyAlignment="1">
      <alignment wrapText="1"/>
    </xf>
    <xf numFmtId="2" fontId="2" fillId="8" borderId="1" xfId="0" applyNumberFormat="1" applyFont="1" applyFill="1" applyBorder="1" applyAlignment="1">
      <alignment wrapText="1"/>
    </xf>
    <xf numFmtId="164" fontId="2" fillId="8" borderId="1" xfId="1" applyNumberFormat="1" applyFont="1" applyFill="1" applyBorder="1" applyAlignment="1">
      <alignment horizontal="center" wrapText="1"/>
    </xf>
    <xf numFmtId="170" fontId="0" fillId="8" borderId="1" xfId="1" applyNumberFormat="1" applyFont="1" applyFill="1" applyBorder="1"/>
    <xf numFmtId="167" fontId="0" fillId="8" borderId="1" xfId="0" applyNumberFormat="1" applyFill="1" applyBorder="1"/>
    <xf numFmtId="169" fontId="0" fillId="8" borderId="1" xfId="0" applyNumberFormat="1" applyFill="1" applyBorder="1"/>
    <xf numFmtId="2" fontId="0" fillId="8" borderId="1" xfId="0" applyNumberFormat="1" applyFill="1" applyBorder="1"/>
    <xf numFmtId="2" fontId="0" fillId="8" borderId="0" xfId="0" applyNumberFormat="1" applyFill="1"/>
    <xf numFmtId="43" fontId="0" fillId="8" borderId="2" xfId="1" applyNumberFormat="1" applyFont="1" applyFill="1" applyBorder="1"/>
    <xf numFmtId="0" fontId="0" fillId="8" borderId="0" xfId="0" applyFill="1"/>
    <xf numFmtId="169" fontId="0" fillId="4" borderId="1" xfId="1" applyNumberFormat="1" applyFont="1" applyFill="1" applyBorder="1"/>
    <xf numFmtId="0" fontId="5" fillId="4" borderId="1" xfId="0" applyFont="1" applyFill="1" applyBorder="1" applyAlignment="1">
      <alignment vertical="top"/>
    </xf>
    <xf numFmtId="0" fontId="0" fillId="4" borderId="1" xfId="0" applyFill="1" applyBorder="1" applyAlignment="1">
      <alignment vertical="center" wrapText="1"/>
    </xf>
    <xf numFmtId="165" fontId="4" fillId="4" borderId="1" xfId="1" applyNumberFormat="1" applyFont="1" applyFill="1" applyBorder="1" applyAlignment="1">
      <alignment horizontal="right"/>
    </xf>
    <xf numFmtId="0" fontId="0" fillId="4" borderId="1" xfId="0" applyFill="1" applyBorder="1" applyAlignment="1">
      <alignment vertical="center"/>
    </xf>
    <xf numFmtId="0" fontId="0" fillId="4" borderId="1" xfId="0" applyFont="1" applyFill="1" applyBorder="1" applyAlignment="1">
      <alignment horizontal="right" wrapText="1"/>
    </xf>
    <xf numFmtId="0" fontId="2" fillId="4" borderId="1" xfId="0" applyFont="1" applyFill="1" applyBorder="1" applyAlignment="1">
      <alignment horizontal="right" vertical="center" wrapText="1"/>
    </xf>
    <xf numFmtId="43" fontId="0" fillId="4" borderId="1" xfId="1" applyNumberFormat="1" applyFont="1" applyFill="1" applyBorder="1" applyAlignment="1">
      <alignment vertical="center"/>
    </xf>
    <xf numFmtId="169" fontId="0" fillId="4" borderId="1" xfId="1" applyNumberFormat="1" applyFont="1" applyFill="1" applyBorder="1" applyAlignment="1">
      <alignment horizontal="right" vertical="center"/>
    </xf>
    <xf numFmtId="43" fontId="0" fillId="4" borderId="0" xfId="1" applyNumberFormat="1" applyFont="1" applyFill="1"/>
    <xf numFmtId="169" fontId="0" fillId="4" borderId="1" xfId="1" applyNumberFormat="1" applyFont="1" applyFill="1" applyBorder="1" applyAlignment="1">
      <alignment vertical="center"/>
    </xf>
    <xf numFmtId="165" fontId="0" fillId="4" borderId="1" xfId="1" applyNumberFormat="1" applyFont="1" applyFill="1" applyBorder="1" applyAlignment="1">
      <alignment vertical="center"/>
    </xf>
    <xf numFmtId="0" fontId="0" fillId="0" borderId="1" xfId="0" applyFill="1" applyBorder="1"/>
    <xf numFmtId="2" fontId="0" fillId="0" borderId="0" xfId="0" applyNumberFormat="1" applyFill="1"/>
    <xf numFmtId="0" fontId="2" fillId="0" borderId="1" xfId="0" applyFont="1" applyFill="1" applyBorder="1" applyAlignment="1">
      <alignment horizontal="right" vertical="center" wrapText="1"/>
    </xf>
    <xf numFmtId="0" fontId="0" fillId="0" borderId="1" xfId="0" applyFill="1" applyBorder="1" applyAlignment="1">
      <alignment vertical="center"/>
    </xf>
    <xf numFmtId="0" fontId="0" fillId="0" borderId="0" xfId="0" applyAlignment="1">
      <alignment wrapText="1"/>
    </xf>
    <xf numFmtId="0" fontId="0" fillId="0" borderId="1" xfId="0" applyBorder="1" applyAlignment="1">
      <alignment wrapText="1"/>
    </xf>
    <xf numFmtId="0" fontId="0" fillId="2" borderId="1" xfId="0" applyFill="1" applyBorder="1"/>
    <xf numFmtId="0" fontId="0" fillId="5" borderId="1" xfId="0" applyFill="1" applyBorder="1"/>
    <xf numFmtId="0" fontId="0" fillId="7" borderId="1" xfId="0" applyFill="1" applyBorder="1"/>
    <xf numFmtId="43" fontId="0" fillId="0" borderId="0" xfId="1" applyFont="1" applyFill="1" applyBorder="1"/>
    <xf numFmtId="170" fontId="0" fillId="0" borderId="1" xfId="1" applyNumberFormat="1" applyFont="1" applyFill="1" applyBorder="1"/>
    <xf numFmtId="0" fontId="5" fillId="6" borderId="1" xfId="0" applyFont="1" applyFill="1" applyBorder="1"/>
    <xf numFmtId="168" fontId="0" fillId="6" borderId="1" xfId="0" applyNumberFormat="1" applyFill="1" applyBorder="1"/>
    <xf numFmtId="2" fontId="5" fillId="6" borderId="1" xfId="0" applyNumberFormat="1" applyFont="1" applyFill="1" applyBorder="1"/>
    <xf numFmtId="2" fontId="5" fillId="6" borderId="0" xfId="0" applyNumberFormat="1" applyFont="1" applyFill="1"/>
    <xf numFmtId="0" fontId="4" fillId="6" borderId="1" xfId="0" applyFont="1" applyFill="1" applyBorder="1" applyAlignment="1">
      <alignment horizontal="center"/>
    </xf>
    <xf numFmtId="0" fontId="2" fillId="6" borderId="1" xfId="0" applyFont="1" applyFill="1" applyBorder="1" applyAlignment="1">
      <alignment wrapText="1"/>
    </xf>
    <xf numFmtId="2" fontId="2" fillId="6" borderId="1" xfId="0" applyNumberFormat="1" applyFont="1" applyFill="1" applyBorder="1" applyAlignment="1">
      <alignment wrapText="1"/>
    </xf>
    <xf numFmtId="164" fontId="2" fillId="6" borderId="1" xfId="1" applyNumberFormat="1" applyFont="1" applyFill="1" applyBorder="1" applyAlignment="1">
      <alignment horizontal="center" wrapText="1"/>
    </xf>
    <xf numFmtId="0" fontId="2" fillId="6" borderId="1" xfId="0" applyFont="1" applyFill="1" applyBorder="1" applyAlignment="1">
      <alignment horizontal="center" wrapText="1"/>
    </xf>
    <xf numFmtId="167" fontId="0" fillId="6" borderId="1" xfId="0" applyNumberFormat="1" applyFill="1" applyBorder="1"/>
    <xf numFmtId="169" fontId="0" fillId="6" borderId="1" xfId="0" applyNumberFormat="1" applyFill="1" applyBorder="1"/>
    <xf numFmtId="2" fontId="0" fillId="6" borderId="1" xfId="0" applyNumberFormat="1" applyFill="1" applyBorder="1"/>
    <xf numFmtId="2" fontId="0" fillId="6" borderId="0" xfId="0" applyNumberFormat="1" applyFill="1"/>
    <xf numFmtId="169" fontId="0" fillId="6" borderId="1" xfId="1" applyNumberFormat="1" applyFont="1" applyFill="1" applyBorder="1"/>
    <xf numFmtId="0" fontId="0" fillId="6" borderId="1" xfId="0" applyFill="1" applyBorder="1"/>
    <xf numFmtId="43" fontId="0" fillId="2" borderId="1" xfId="1" applyNumberFormat="1" applyFont="1" applyFill="1" applyBorder="1" applyAlignment="1" applyProtection="1">
      <alignment vertical="center"/>
      <protection locked="0"/>
    </xf>
    <xf numFmtId="166" fontId="0" fillId="2" borderId="1" xfId="1" applyNumberFormat="1" applyFont="1" applyFill="1" applyBorder="1" applyAlignment="1" applyProtection="1">
      <alignment vertical="center"/>
      <protection locked="0"/>
    </xf>
    <xf numFmtId="43" fontId="0" fillId="2" borderId="1" xfId="1" applyNumberFormat="1" applyFont="1" applyFill="1" applyBorder="1" applyAlignment="1" applyProtection="1">
      <alignment horizontal="right" vertical="center"/>
      <protection locked="0"/>
    </xf>
    <xf numFmtId="170" fontId="0" fillId="5" borderId="1" xfId="1" applyNumberFormat="1" applyFont="1" applyFill="1" applyBorder="1" applyProtection="1">
      <protection locked="0"/>
    </xf>
    <xf numFmtId="0" fontId="4" fillId="0" borderId="9" xfId="0" applyFont="1" applyBorder="1" applyAlignment="1">
      <alignment horizontal="center"/>
    </xf>
    <xf numFmtId="0" fontId="0" fillId="0" borderId="17" xfId="0" applyBorder="1" applyAlignment="1">
      <alignment horizontal="center"/>
    </xf>
    <xf numFmtId="0" fontId="4" fillId="6" borderId="1" xfId="0" applyFont="1" applyFill="1" applyBorder="1" applyAlignment="1">
      <alignment horizontal="center" wrapText="1"/>
    </xf>
    <xf numFmtId="0" fontId="4" fillId="6" borderId="1" xfId="0" applyFont="1" applyFill="1" applyBorder="1" applyAlignment="1">
      <alignment horizontal="center"/>
    </xf>
    <xf numFmtId="0" fontId="8" fillId="0" borderId="1" xfId="0" applyFont="1" applyBorder="1" applyAlignment="1">
      <alignment horizontal="left" vertical="center" wrapText="1"/>
    </xf>
    <xf numFmtId="43" fontId="2" fillId="0" borderId="1" xfId="1" applyNumberFormat="1" applyFont="1" applyBorder="1" applyAlignment="1">
      <alignment horizontal="center" wrapText="1"/>
    </xf>
    <xf numFmtId="164" fontId="4" fillId="0"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7" borderId="1" xfId="0" applyFont="1" applyFill="1" applyBorder="1" applyAlignment="1">
      <alignment horizontal="center"/>
    </xf>
    <xf numFmtId="0" fontId="5" fillId="4" borderId="3" xfId="0" applyFont="1" applyFill="1" applyBorder="1" applyAlignment="1">
      <alignment horizontal="center"/>
    </xf>
    <xf numFmtId="0" fontId="5" fillId="4" borderId="4" xfId="0" applyFont="1" applyFill="1" applyBorder="1" applyAlignment="1">
      <alignment horizontal="center"/>
    </xf>
    <xf numFmtId="0" fontId="8" fillId="4" borderId="1" xfId="0" applyFont="1" applyFill="1" applyBorder="1" applyAlignment="1">
      <alignment horizontal="left" vertical="center" wrapText="1"/>
    </xf>
    <xf numFmtId="0" fontId="4" fillId="4" borderId="9" xfId="0" applyFont="1" applyFill="1" applyBorder="1" applyAlignment="1">
      <alignment horizontal="center" wrapText="1"/>
    </xf>
    <xf numFmtId="0" fontId="4" fillId="4" borderId="18" xfId="0" applyFont="1" applyFill="1" applyBorder="1" applyAlignment="1">
      <alignment horizontal="center" wrapText="1"/>
    </xf>
    <xf numFmtId="0" fontId="4" fillId="4" borderId="17" xfId="0" applyFont="1" applyFill="1" applyBorder="1" applyAlignment="1">
      <alignment horizontal="center" wrapText="1"/>
    </xf>
    <xf numFmtId="43" fontId="2" fillId="4" borderId="1" xfId="1" applyNumberFormat="1" applyFont="1" applyFill="1" applyBorder="1" applyAlignment="1">
      <alignment horizontal="center" wrapText="1"/>
    </xf>
    <xf numFmtId="164" fontId="4" fillId="4" borderId="1" xfId="1" applyNumberFormat="1" applyFont="1" applyFill="1" applyBorder="1" applyAlignment="1">
      <alignment horizontal="center" vertical="center" wrapText="1"/>
    </xf>
    <xf numFmtId="0" fontId="4" fillId="8" borderId="1" xfId="0" applyFont="1" applyFill="1" applyBorder="1" applyAlignment="1">
      <alignment horizontal="center" wrapText="1"/>
    </xf>
    <xf numFmtId="0" fontId="4" fillId="8" borderId="1"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13"/>
  <sheetViews>
    <sheetView tabSelected="1" workbookViewId="0">
      <selection activeCell="C7" sqref="C7"/>
    </sheetView>
  </sheetViews>
  <sheetFormatPr defaultRowHeight="15"/>
  <cols>
    <col min="2" max="2" width="91.85546875" style="112" customWidth="1"/>
  </cols>
  <sheetData>
    <row r="1" spans="1:2">
      <c r="A1" s="22"/>
      <c r="B1" s="113" t="s">
        <v>119</v>
      </c>
    </row>
    <row r="3" spans="1:2">
      <c r="A3" s="62"/>
      <c r="B3" s="113" t="s">
        <v>84</v>
      </c>
    </row>
    <row r="4" spans="1:2">
      <c r="A4" s="22"/>
      <c r="B4" s="113" t="s">
        <v>85</v>
      </c>
    </row>
    <row r="5" spans="1:2">
      <c r="A5" s="22"/>
      <c r="B5" s="113"/>
    </row>
    <row r="6" spans="1:2" ht="19.5" customHeight="1">
      <c r="A6" s="22"/>
      <c r="B6" s="113" t="s">
        <v>115</v>
      </c>
    </row>
    <row r="7" spans="1:2">
      <c r="A7" s="22"/>
      <c r="B7" s="113"/>
    </row>
    <row r="8" spans="1:2" ht="18.75">
      <c r="A8" s="138" t="s">
        <v>116</v>
      </c>
      <c r="B8" s="139"/>
    </row>
    <row r="9" spans="1:2" ht="30">
      <c r="A9" s="114"/>
      <c r="B9" s="113" t="s">
        <v>112</v>
      </c>
    </row>
    <row r="10" spans="1:2" ht="45">
      <c r="A10" s="115"/>
      <c r="B10" s="113" t="s">
        <v>113</v>
      </c>
    </row>
    <row r="11" spans="1:2">
      <c r="A11" s="133"/>
      <c r="B11" s="113" t="s">
        <v>118</v>
      </c>
    </row>
    <row r="12" spans="1:2">
      <c r="A12" s="22"/>
      <c r="B12" s="113"/>
    </row>
    <row r="13" spans="1:2" ht="45">
      <c r="A13" s="116"/>
      <c r="B13" s="113" t="s">
        <v>114</v>
      </c>
    </row>
  </sheetData>
  <sheetProtection password="CD86" sheet="1" objects="1"/>
  <mergeCells count="1">
    <mergeCell ref="A8:B8"/>
  </mergeCells>
  <phoneticPr fontId="9" type="noConversion"/>
  <pageMargins left="0.75" right="0.75" top="1" bottom="1" header="0.5" footer="0.5"/>
  <pageSetup orientation="portrait" horizontalDpi="4294967293" verticalDpi="4294967293"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AH25"/>
  <sheetViews>
    <sheetView zoomScale="80" zoomScaleNormal="80" workbookViewId="0">
      <selection activeCell="G14" sqref="G14"/>
    </sheetView>
  </sheetViews>
  <sheetFormatPr defaultRowHeight="15"/>
  <cols>
    <col min="1" max="1" width="38" style="3" customWidth="1"/>
    <col min="2" max="2" width="13.42578125" style="2" customWidth="1"/>
    <col min="3" max="3" width="80.140625" style="1" customWidth="1"/>
    <col min="4" max="4" width="2.140625" customWidth="1"/>
    <col min="5" max="5" width="10.42578125" style="30" customWidth="1"/>
    <col min="6" max="6" width="2" style="9" customWidth="1"/>
    <col min="7" max="7" width="15.85546875" customWidth="1"/>
    <col min="8" max="11" width="9.28515625" style="10" customWidth="1"/>
    <col min="12" max="12" width="2.42578125" style="10" customWidth="1"/>
    <col min="13" max="13" width="10.140625" style="10" customWidth="1"/>
    <col min="14" max="14" width="13.140625" style="10" customWidth="1"/>
    <col min="15" max="15" width="12" style="10" customWidth="1"/>
    <col min="16" max="16" width="10.42578125" customWidth="1"/>
    <col min="17" max="17" width="9.28515625" customWidth="1"/>
    <col min="18" max="18" width="14.42578125" customWidth="1"/>
    <col min="19" max="19" width="14.140625" customWidth="1"/>
    <col min="20" max="20" width="13.85546875" customWidth="1"/>
    <col min="21" max="21" width="14.140625" customWidth="1"/>
    <col min="22" max="22" width="13.42578125" style="45" customWidth="1"/>
    <col min="23" max="23" width="13.42578125" style="109" customWidth="1"/>
    <col min="24" max="24" width="1.5703125" style="45" customWidth="1"/>
    <col min="25" max="25" width="14.85546875" style="10" customWidth="1"/>
    <col min="26" max="26" width="12.28515625" style="10" customWidth="1"/>
    <col min="27" max="27" width="12.140625" style="10" customWidth="1"/>
    <col min="28" max="28" width="13.28515625" style="10" customWidth="1"/>
    <col min="29" max="29" width="1.5703125" style="10" customWidth="1"/>
    <col min="30" max="33" width="9.28515625" style="10" customWidth="1"/>
    <col min="34" max="34" width="1.85546875" style="10" customWidth="1"/>
  </cols>
  <sheetData>
    <row r="1" spans="1:34" s="7" customFormat="1" ht="57.75" customHeight="1">
      <c r="A1" s="13" t="s">
        <v>111</v>
      </c>
      <c r="B1" s="143" t="s">
        <v>14</v>
      </c>
      <c r="C1" s="14"/>
      <c r="D1" s="15"/>
      <c r="E1" s="144" t="s">
        <v>13</v>
      </c>
      <c r="F1" s="16"/>
      <c r="H1" s="145" t="s">
        <v>117</v>
      </c>
      <c r="I1" s="146"/>
      <c r="J1" s="41"/>
      <c r="K1" s="41"/>
      <c r="L1" s="35"/>
      <c r="M1" s="38">
        <f ca="1">2*DEGREES(ASIN(Brick/(2*IT)))</f>
        <v>7.9409847238774169</v>
      </c>
      <c r="N1" s="119"/>
      <c r="O1" s="119"/>
      <c r="P1" s="120"/>
      <c r="Q1" s="119"/>
      <c r="R1" s="119"/>
      <c r="S1" s="119"/>
      <c r="T1" s="119"/>
      <c r="U1" s="119"/>
      <c r="V1" s="121"/>
      <c r="W1" s="121"/>
      <c r="X1" s="122"/>
      <c r="Y1" s="140" t="s">
        <v>35</v>
      </c>
      <c r="Z1" s="141"/>
      <c r="AA1" s="141"/>
      <c r="AB1" s="123"/>
      <c r="AC1" s="119"/>
      <c r="AD1" s="140" t="s">
        <v>36</v>
      </c>
      <c r="AE1" s="141"/>
      <c r="AF1" s="123"/>
      <c r="AG1" s="123"/>
      <c r="AH1" s="35"/>
    </row>
    <row r="2" spans="1:34" s="6" customFormat="1" ht="135" customHeight="1">
      <c r="A2" s="17"/>
      <c r="B2" s="143"/>
      <c r="C2" s="18" t="s">
        <v>0</v>
      </c>
      <c r="D2" s="18"/>
      <c r="E2" s="144" t="s">
        <v>12</v>
      </c>
      <c r="F2" s="19"/>
      <c r="G2" s="33" t="s">
        <v>47</v>
      </c>
      <c r="H2" s="42" t="s">
        <v>49</v>
      </c>
      <c r="I2" s="42" t="s">
        <v>50</v>
      </c>
      <c r="J2" s="43" t="s">
        <v>51</v>
      </c>
      <c r="K2" s="43" t="s">
        <v>52</v>
      </c>
      <c r="L2" s="12"/>
      <c r="M2" s="124" t="s">
        <v>48</v>
      </c>
      <c r="N2" s="124" t="s">
        <v>45</v>
      </c>
      <c r="O2" s="124" t="s">
        <v>44</v>
      </c>
      <c r="P2" s="124" t="s">
        <v>46</v>
      </c>
      <c r="Q2" s="124" t="s">
        <v>39</v>
      </c>
      <c r="R2" s="124" t="s">
        <v>37</v>
      </c>
      <c r="S2" s="124" t="s">
        <v>40</v>
      </c>
      <c r="T2" s="124" t="s">
        <v>38</v>
      </c>
      <c r="U2" s="124" t="s">
        <v>41</v>
      </c>
      <c r="V2" s="125" t="s">
        <v>42</v>
      </c>
      <c r="W2" s="125" t="s">
        <v>43</v>
      </c>
      <c r="X2" s="125"/>
      <c r="Y2" s="126" t="s">
        <v>63</v>
      </c>
      <c r="Z2" s="126" t="s">
        <v>50</v>
      </c>
      <c r="AA2" s="127" t="s">
        <v>51</v>
      </c>
      <c r="AB2" s="127" t="s">
        <v>52</v>
      </c>
      <c r="AC2" s="124"/>
      <c r="AD2" s="126" t="s">
        <v>49</v>
      </c>
      <c r="AE2" s="126" t="s">
        <v>50</v>
      </c>
      <c r="AF2" s="127" t="s">
        <v>51</v>
      </c>
      <c r="AG2" s="127" t="s">
        <v>52</v>
      </c>
      <c r="AH2" s="39"/>
    </row>
    <row r="3" spans="1:34" ht="50.1" customHeight="1">
      <c r="A3" s="20" t="s">
        <v>20</v>
      </c>
      <c r="B3" s="134">
        <v>36</v>
      </c>
      <c r="C3" s="21" t="s">
        <v>1</v>
      </c>
      <c r="D3" s="22"/>
      <c r="E3" s="29" t="s">
        <v>8</v>
      </c>
      <c r="F3" s="23"/>
      <c r="G3" s="137">
        <f ca="1">Brick_Width</f>
        <v>4.5</v>
      </c>
      <c r="H3" s="44">
        <f>AD3</f>
        <v>3.6</v>
      </c>
      <c r="I3" s="44">
        <f>AE3</f>
        <v>3.6</v>
      </c>
      <c r="J3" s="44">
        <f>AF3</f>
        <v>4.5</v>
      </c>
      <c r="K3" s="44">
        <f>AG3</f>
        <v>4.5</v>
      </c>
      <c r="L3" s="118"/>
      <c r="M3" s="128">
        <f ca="1">90-Inner_arc</f>
        <v>4.3682774345883786</v>
      </c>
      <c r="N3" s="129">
        <f ca="1">Diameter/2</f>
        <v>18</v>
      </c>
      <c r="O3" s="129">
        <f ca="1">Diameter/2</f>
        <v>18</v>
      </c>
      <c r="P3" s="129">
        <f ca="1">N3+Brick_Depth</f>
        <v>22.5</v>
      </c>
      <c r="Q3" s="129">
        <f ca="1">O3+Brick_Depth</f>
        <v>22.5</v>
      </c>
      <c r="R3" s="129">
        <f>2*PI()*N3</f>
        <v>113.09733552923255</v>
      </c>
      <c r="S3" s="129">
        <f>2*PI()*O3</f>
        <v>113.09733552923255</v>
      </c>
      <c r="T3" s="129">
        <f>2*PI()*P3</f>
        <v>141.37166941154069</v>
      </c>
      <c r="U3" s="129">
        <f>2*PI()*Q3</f>
        <v>141.37166941154069</v>
      </c>
      <c r="V3" s="130">
        <f ca="1">U3/(G3+Joint)</f>
        <v>30.566847440333124</v>
      </c>
      <c r="W3" s="130">
        <f>U3/G3</f>
        <v>31.415926535897931</v>
      </c>
      <c r="X3" s="131"/>
      <c r="Y3" s="129">
        <f t="shared" ref="Y3:Y22" ca="1" si="0">S3/V3-Joint</f>
        <v>3.5749999999999997</v>
      </c>
      <c r="Z3" s="129">
        <f t="shared" ref="Z3:Z22" ca="1" si="1">R3/V3-Joint</f>
        <v>3.5749999999999997</v>
      </c>
      <c r="AA3" s="129">
        <f t="shared" ref="AA3:AA22" ca="1" si="2">U3/V3-Joint</f>
        <v>4.5</v>
      </c>
      <c r="AB3" s="129">
        <f t="shared" ref="AB3:AB22" ca="1" si="3">T3/V3-Joint</f>
        <v>4.5</v>
      </c>
      <c r="AC3" s="129"/>
      <c r="AD3" s="132">
        <f>S3/W3</f>
        <v>3.6</v>
      </c>
      <c r="AE3" s="132">
        <f>R3/W3</f>
        <v>3.6</v>
      </c>
      <c r="AF3" s="132">
        <f>U3/W3</f>
        <v>4.5</v>
      </c>
      <c r="AG3" s="132">
        <f>T3/W3</f>
        <v>4.5</v>
      </c>
    </row>
    <row r="4" spans="1:34" ht="50.1" customHeight="1">
      <c r="A4" s="20" t="s">
        <v>21</v>
      </c>
      <c r="B4" s="135">
        <f>1+1/8</f>
        <v>1.125</v>
      </c>
      <c r="C4" s="21" t="s">
        <v>10</v>
      </c>
      <c r="D4" s="22"/>
      <c r="E4" s="29">
        <v>1</v>
      </c>
      <c r="F4" s="23"/>
      <c r="G4" s="137">
        <f>G3</f>
        <v>4.5</v>
      </c>
      <c r="H4" s="44">
        <f t="shared" ref="H4:H22" si="4">AD4</f>
        <v>3.589318741572491</v>
      </c>
      <c r="I4" s="44">
        <f t="shared" ref="I4:I22" si="5">AE4</f>
        <v>3.5170210179283621</v>
      </c>
      <c r="J4" s="44">
        <f t="shared" ref="J4:J22" si="6">AF4</f>
        <v>4.5</v>
      </c>
      <c r="K4" s="44">
        <f t="shared" ref="K4:K22" si="7">AG4</f>
        <v>4.3937221026392743</v>
      </c>
      <c r="L4" s="118"/>
      <c r="M4" s="128">
        <f t="shared" ref="M4:M22" si="8">IF(E4&gt;0,M3+$M$1,0)</f>
        <v>12.309262158465796</v>
      </c>
      <c r="N4" s="129">
        <f t="shared" ref="N4:N22" ca="1" si="9">IF(E4&gt;0,IT*(COS(RADIANS(M4))),0)</f>
        <v>17.637435647461004</v>
      </c>
      <c r="O4" s="129">
        <f>N3</f>
        <v>18</v>
      </c>
      <c r="P4" s="129">
        <f t="shared" ref="P4:P22" ca="1" si="10">IF(E4&gt;0,((Brick_Depth+IT)*COS(RADIANS(M4))),0)</f>
        <v>22.033985706395828</v>
      </c>
      <c r="Q4" s="129">
        <f t="shared" ref="Q4:Q22" ca="1" si="11">IF(E4&gt;0,P4+(SIN(RADIANS(M4))*Brick),0)</f>
        <v>22.566956526272076</v>
      </c>
      <c r="R4" s="129">
        <f t="shared" ref="R4:R14" si="12">2*PI()*N4</f>
        <v>110.81927651645245</v>
      </c>
      <c r="S4" s="129">
        <f t="shared" ref="S4:S22" si="13">2*PI()*O4</f>
        <v>113.09733552923255</v>
      </c>
      <c r="T4" s="129">
        <f t="shared" ref="T4:T14" si="14">2*PI()*P4</f>
        <v>138.4436152490313</v>
      </c>
      <c r="U4" s="129">
        <f t="shared" ref="U4:U22" si="15">2*PI()*Q4</f>
        <v>141.79236967363317</v>
      </c>
      <c r="V4" s="130">
        <f t="shared" ref="V4:V22" ca="1" si="16">IF(E4&gt;0,U4/(G4+Joint),0)</f>
        <v>30.657809659163931</v>
      </c>
      <c r="W4" s="130">
        <f t="shared" ref="W4:W22" si="17">IF(E4&gt;0,U4/G4,0)</f>
        <v>31.509415483029596</v>
      </c>
      <c r="X4" s="131"/>
      <c r="Y4" s="129">
        <f t="shared" ca="1" si="0"/>
        <v>3.5640220399495046</v>
      </c>
      <c r="Z4" s="129">
        <f t="shared" ca="1" si="1"/>
        <v>3.4897160462041503</v>
      </c>
      <c r="AA4" s="129">
        <f t="shared" ca="1" si="2"/>
        <v>4.5</v>
      </c>
      <c r="AB4" s="129">
        <f t="shared" ca="1" si="3"/>
        <v>4.3907699388236985</v>
      </c>
      <c r="AC4" s="129"/>
      <c r="AD4" s="132">
        <f t="shared" ref="AD4:AD22" si="18">S4/W4</f>
        <v>3.589318741572491</v>
      </c>
      <c r="AE4" s="132">
        <f t="shared" ref="AE4:AE22" si="19">R4/W4</f>
        <v>3.5170210179283621</v>
      </c>
      <c r="AF4" s="132">
        <f t="shared" ref="AF4:AF22" si="20">U4/W4</f>
        <v>4.5</v>
      </c>
      <c r="AG4" s="132">
        <f t="shared" ref="AG4:AG22" si="21">T4/W4</f>
        <v>4.3937221026392743</v>
      </c>
    </row>
    <row r="5" spans="1:34" ht="50.1" customHeight="1">
      <c r="A5" s="20" t="s">
        <v>22</v>
      </c>
      <c r="B5" s="136">
        <v>2.5</v>
      </c>
      <c r="C5" s="21" t="s">
        <v>5</v>
      </c>
      <c r="D5" s="22"/>
      <c r="E5" s="29">
        <v>2</v>
      </c>
      <c r="F5" s="23"/>
      <c r="G5" s="137">
        <f t="shared" ref="G5:G10" si="22">IF(E5&gt;0,G4,0)</f>
        <v>4.5</v>
      </c>
      <c r="H5" s="44">
        <f t="shared" si="4"/>
        <v>3.6037629609054189</v>
      </c>
      <c r="I5" s="44">
        <f t="shared" si="5"/>
        <v>3.460568388864854</v>
      </c>
      <c r="J5" s="44">
        <f t="shared" si="6"/>
        <v>4.5</v>
      </c>
      <c r="K5" s="44">
        <f t="shared" si="7"/>
        <v>4.3231973139604349</v>
      </c>
      <c r="L5" s="118"/>
      <c r="M5" s="128">
        <f t="shared" si="8"/>
        <v>20.250246882343212</v>
      </c>
      <c r="N5" s="129">
        <f t="shared" ca="1" si="9"/>
        <v>16.936616787611062</v>
      </c>
      <c r="O5" s="129">
        <f t="shared" ref="O5:O22" si="23">N4</f>
        <v>17.637435647461004</v>
      </c>
      <c r="P5" s="129">
        <f t="shared" ca="1" si="10"/>
        <v>21.158471087980814</v>
      </c>
      <c r="Q5" s="129">
        <f t="shared" ca="1" si="11"/>
        <v>22.023773837121009</v>
      </c>
      <c r="R5" s="129">
        <f t="shared" si="12"/>
        <v>106.41590175324895</v>
      </c>
      <c r="S5" s="129">
        <f t="shared" si="13"/>
        <v>110.81927651645245</v>
      </c>
      <c r="T5" s="129">
        <f t="shared" si="14"/>
        <v>132.94259466238512</v>
      </c>
      <c r="U5" s="129">
        <f t="shared" si="15"/>
        <v>138.3794521820449</v>
      </c>
      <c r="V5" s="130">
        <f t="shared" ca="1" si="16"/>
        <v>29.919881552874575</v>
      </c>
      <c r="W5" s="130">
        <f t="shared" si="17"/>
        <v>30.750989373787757</v>
      </c>
      <c r="X5" s="131"/>
      <c r="Y5" s="129">
        <f t="shared" ca="1" si="0"/>
        <v>3.5788674875972362</v>
      </c>
      <c r="Z5" s="129">
        <f t="shared" ca="1" si="1"/>
        <v>3.4316952885555443</v>
      </c>
      <c r="AA5" s="129">
        <f t="shared" ca="1" si="2"/>
        <v>4.5</v>
      </c>
      <c r="AB5" s="129">
        <f t="shared" ca="1" si="3"/>
        <v>4.3182861282371139</v>
      </c>
      <c r="AC5" s="129"/>
      <c r="AD5" s="132">
        <f t="shared" si="18"/>
        <v>3.6037629609054189</v>
      </c>
      <c r="AE5" s="132">
        <f t="shared" si="19"/>
        <v>3.460568388864854</v>
      </c>
      <c r="AF5" s="132">
        <f t="shared" si="20"/>
        <v>4.5</v>
      </c>
      <c r="AG5" s="132">
        <f t="shared" si="21"/>
        <v>4.3231973139604349</v>
      </c>
    </row>
    <row r="6" spans="1:34" ht="50.1" customHeight="1">
      <c r="A6" s="20" t="s">
        <v>25</v>
      </c>
      <c r="B6" s="134">
        <v>2.5</v>
      </c>
      <c r="C6" s="24" t="s">
        <v>4</v>
      </c>
      <c r="D6" s="22"/>
      <c r="E6" s="29">
        <f ca="1">IF(MAX(E$4:E5)&lt;Courses,E5+1,0)</f>
        <v>3</v>
      </c>
      <c r="F6" s="23"/>
      <c r="G6" s="137">
        <f t="shared" si="22"/>
        <v>4.5</v>
      </c>
      <c r="H6" s="44">
        <f t="shared" si="4"/>
        <v>3.6192420543292663</v>
      </c>
      <c r="I6" s="44">
        <f t="shared" si="5"/>
        <v>3.4000711408547994</v>
      </c>
      <c r="J6" s="44">
        <f t="shared" si="6"/>
        <v>4.5</v>
      </c>
      <c r="K6" s="44">
        <f t="shared" si="7"/>
        <v>4.2476196889261679</v>
      </c>
      <c r="L6" s="118"/>
      <c r="M6" s="128">
        <f t="shared" si="8"/>
        <v>28.191231606220629</v>
      </c>
      <c r="N6" s="129">
        <f t="shared" ca="1" si="9"/>
        <v>15.910983874203829</v>
      </c>
      <c r="O6" s="129">
        <f t="shared" si="23"/>
        <v>16.936616787611062</v>
      </c>
      <c r="P6" s="129">
        <f t="shared" ca="1" si="10"/>
        <v>19.877174792661528</v>
      </c>
      <c r="Q6" s="129">
        <f t="shared" ca="1" si="11"/>
        <v>21.058214510157772</v>
      </c>
      <c r="R6" s="129">
        <f t="shared" si="12"/>
        <v>99.971660101168823</v>
      </c>
      <c r="S6" s="129">
        <f t="shared" si="13"/>
        <v>106.41590175324895</v>
      </c>
      <c r="T6" s="129">
        <f t="shared" si="14"/>
        <v>124.89197260549135</v>
      </c>
      <c r="U6" s="129">
        <f t="shared" si="15"/>
        <v>132.31266400565929</v>
      </c>
      <c r="V6" s="130">
        <f t="shared" ca="1" si="16"/>
        <v>28.608143568791196</v>
      </c>
      <c r="W6" s="130">
        <f t="shared" si="17"/>
        <v>29.40281422347984</v>
      </c>
      <c r="X6" s="131"/>
      <c r="Y6" s="129">
        <f t="shared" ca="1" si="0"/>
        <v>3.5947765558384126</v>
      </c>
      <c r="Z6" s="129">
        <f t="shared" ca="1" si="1"/>
        <v>3.3695175614340993</v>
      </c>
      <c r="AA6" s="129">
        <f t="shared" ca="1" si="2"/>
        <v>4.5</v>
      </c>
      <c r="AB6" s="129">
        <f t="shared" ca="1" si="3"/>
        <v>4.2406091247296729</v>
      </c>
      <c r="AC6" s="129"/>
      <c r="AD6" s="132">
        <f t="shared" si="18"/>
        <v>3.6192420543292663</v>
      </c>
      <c r="AE6" s="132">
        <f t="shared" si="19"/>
        <v>3.4000711408547994</v>
      </c>
      <c r="AF6" s="132">
        <f t="shared" si="20"/>
        <v>4.5</v>
      </c>
      <c r="AG6" s="132">
        <f t="shared" si="21"/>
        <v>4.2476196889261679</v>
      </c>
    </row>
    <row r="7" spans="1:34" ht="50.1" customHeight="1">
      <c r="A7" s="20" t="s">
        <v>29</v>
      </c>
      <c r="B7" s="135">
        <v>4.5</v>
      </c>
      <c r="C7" s="24" t="s">
        <v>16</v>
      </c>
      <c r="D7" s="22"/>
      <c r="E7" s="29">
        <f ca="1">IF(MAX(E$4:E6)&lt;Courses,E6+1,0)</f>
        <v>4</v>
      </c>
      <c r="F7" s="23"/>
      <c r="G7" s="137">
        <f t="shared" si="22"/>
        <v>4.5</v>
      </c>
      <c r="H7" s="44">
        <f t="shared" si="4"/>
        <v>3.6365568788858491</v>
      </c>
      <c r="I7" s="44">
        <f t="shared" si="5"/>
        <v>3.332399268428706</v>
      </c>
      <c r="J7" s="44">
        <f t="shared" si="6"/>
        <v>4.5</v>
      </c>
      <c r="K7" s="44">
        <f t="shared" si="7"/>
        <v>4.1630789938066801</v>
      </c>
      <c r="L7" s="118"/>
      <c r="M7" s="128">
        <f t="shared" si="8"/>
        <v>36.132216330098046</v>
      </c>
      <c r="N7" s="129">
        <f t="shared" ca="1" si="9"/>
        <v>14.58020671427593</v>
      </c>
      <c r="O7" s="129">
        <f t="shared" si="23"/>
        <v>15.910983874203829</v>
      </c>
      <c r="P7" s="129">
        <f t="shared" ca="1" si="10"/>
        <v>18.214669794409673</v>
      </c>
      <c r="Q7" s="129">
        <f t="shared" ca="1" si="11"/>
        <v>19.688796248349487</v>
      </c>
      <c r="R7" s="129">
        <f t="shared" si="12"/>
        <v>91.610140602779666</v>
      </c>
      <c r="S7" s="129">
        <f t="shared" si="13"/>
        <v>99.971660101168823</v>
      </c>
      <c r="T7" s="129">
        <f t="shared" si="14"/>
        <v>114.44614562736267</v>
      </c>
      <c r="U7" s="129">
        <f t="shared" si="15"/>
        <v>123.70835530368205</v>
      </c>
      <c r="V7" s="130">
        <f t="shared" ca="1" si="16"/>
        <v>26.747752498093416</v>
      </c>
      <c r="W7" s="130">
        <f t="shared" si="17"/>
        <v>27.490745623040457</v>
      </c>
      <c r="X7" s="131"/>
      <c r="Y7" s="129">
        <f t="shared" ca="1" si="0"/>
        <v>3.6125723477437899</v>
      </c>
      <c r="Z7" s="129">
        <f t="shared" ca="1" si="1"/>
        <v>3.299965914773948</v>
      </c>
      <c r="AA7" s="129">
        <f t="shared" ca="1" si="2"/>
        <v>4.5</v>
      </c>
      <c r="AB7" s="129">
        <f t="shared" ca="1" si="3"/>
        <v>4.1537200769679776</v>
      </c>
      <c r="AC7" s="129"/>
      <c r="AD7" s="132">
        <f t="shared" si="18"/>
        <v>3.6365568788858491</v>
      </c>
      <c r="AE7" s="132">
        <f t="shared" si="19"/>
        <v>3.332399268428706</v>
      </c>
      <c r="AF7" s="132">
        <f t="shared" si="20"/>
        <v>4.5</v>
      </c>
      <c r="AG7" s="132">
        <f t="shared" si="21"/>
        <v>4.1630789938066801</v>
      </c>
    </row>
    <row r="8" spans="1:34" ht="50.1" customHeight="1">
      <c r="A8" s="20" t="s">
        <v>31</v>
      </c>
      <c r="B8" s="135">
        <v>4.5</v>
      </c>
      <c r="C8" s="24" t="s">
        <v>9</v>
      </c>
      <c r="D8" s="22"/>
      <c r="E8" s="29">
        <f ca="1">IF(MAX(E$4:E7)&lt;Courses,E7+1,0)</f>
        <v>5</v>
      </c>
      <c r="F8" s="23"/>
      <c r="G8" s="137">
        <f t="shared" si="22"/>
        <v>4.5</v>
      </c>
      <c r="H8" s="44">
        <f t="shared" si="4"/>
        <v>3.6568792353135295</v>
      </c>
      <c r="I8" s="44">
        <f t="shared" si="5"/>
        <v>3.2529729995065213</v>
      </c>
      <c r="J8" s="44">
        <f t="shared" si="6"/>
        <v>4.5</v>
      </c>
      <c r="K8" s="44">
        <f t="shared" si="7"/>
        <v>4.0638538394744677</v>
      </c>
      <c r="L8" s="118"/>
      <c r="M8" s="128">
        <f t="shared" si="8"/>
        <v>44.073201053975467</v>
      </c>
      <c r="N8" s="129">
        <f t="shared" ca="1" si="9"/>
        <v>12.969807236387139</v>
      </c>
      <c r="O8" s="129">
        <f t="shared" si="23"/>
        <v>14.58020671427593</v>
      </c>
      <c r="P8" s="129">
        <f t="shared" ca="1" si="10"/>
        <v>16.20283996910868</v>
      </c>
      <c r="Q8" s="129">
        <f t="shared" ca="1" si="11"/>
        <v>17.941782047559578</v>
      </c>
      <c r="R8" s="129">
        <f t="shared" si="12"/>
        <v>81.49170226461915</v>
      </c>
      <c r="S8" s="129">
        <f t="shared" si="13"/>
        <v>91.610140602779666</v>
      </c>
      <c r="T8" s="129">
        <f t="shared" si="14"/>
        <v>101.8054460284858</v>
      </c>
      <c r="U8" s="129">
        <f t="shared" si="15"/>
        <v>112.7315413458448</v>
      </c>
      <c r="V8" s="130">
        <f t="shared" ca="1" si="16"/>
        <v>24.374387318020499</v>
      </c>
      <c r="W8" s="130">
        <f t="shared" si="17"/>
        <v>25.051453632409956</v>
      </c>
      <c r="X8" s="131"/>
      <c r="Y8" s="129">
        <f t="shared" ca="1" si="0"/>
        <v>3.6334592140722388</v>
      </c>
      <c r="Z8" s="129">
        <f t="shared" ca="1" si="1"/>
        <v>3.2183333606039244</v>
      </c>
      <c r="AA8" s="129">
        <f t="shared" ca="1" si="2"/>
        <v>4.5</v>
      </c>
      <c r="AB8" s="129">
        <f t="shared" ca="1" si="3"/>
        <v>4.051738668348758</v>
      </c>
      <c r="AC8" s="129"/>
      <c r="AD8" s="132">
        <f t="shared" si="18"/>
        <v>3.6568792353135295</v>
      </c>
      <c r="AE8" s="132">
        <f t="shared" si="19"/>
        <v>3.2529729995065213</v>
      </c>
      <c r="AF8" s="132">
        <f t="shared" si="20"/>
        <v>4.5</v>
      </c>
      <c r="AG8" s="132">
        <f t="shared" si="21"/>
        <v>4.0638538394744677</v>
      </c>
    </row>
    <row r="9" spans="1:34" ht="50.1" customHeight="1">
      <c r="A9" s="20" t="s">
        <v>30</v>
      </c>
      <c r="B9" s="135">
        <f>1/8</f>
        <v>0.125</v>
      </c>
      <c r="C9" s="24" t="s">
        <v>7</v>
      </c>
      <c r="D9" s="22"/>
      <c r="E9" s="29">
        <f ca="1">IF(MAX(E$4:E8)&lt;Courses,E8+1,0)</f>
        <v>6</v>
      </c>
      <c r="F9" s="23"/>
      <c r="G9" s="137">
        <f t="shared" si="22"/>
        <v>4.5</v>
      </c>
      <c r="H9" s="44">
        <f t="shared" si="4"/>
        <v>3.6821224944580955</v>
      </c>
      <c r="I9" s="44">
        <f t="shared" si="5"/>
        <v>3.1543142688409347</v>
      </c>
      <c r="J9" s="44">
        <f t="shared" si="6"/>
        <v>4.5</v>
      </c>
      <c r="K9" s="44">
        <f t="shared" si="7"/>
        <v>3.940602075173369</v>
      </c>
      <c r="L9" s="118"/>
      <c r="M9" s="128">
        <f t="shared" si="8"/>
        <v>52.014185777852887</v>
      </c>
      <c r="N9" s="129">
        <f t="shared" ca="1" si="9"/>
        <v>11.110670025624254</v>
      </c>
      <c r="O9" s="129">
        <f t="shared" si="23"/>
        <v>12.969807236387139</v>
      </c>
      <c r="P9" s="129">
        <f t="shared" ca="1" si="10"/>
        <v>13.880268618773238</v>
      </c>
      <c r="Q9" s="129">
        <f t="shared" ca="1" si="11"/>
        <v>15.850676519204633</v>
      </c>
      <c r="R9" s="129">
        <f t="shared" si="12"/>
        <v>69.810398657922946</v>
      </c>
      <c r="S9" s="129">
        <f t="shared" si="13"/>
        <v>81.49170226461915</v>
      </c>
      <c r="T9" s="129">
        <f t="shared" si="14"/>
        <v>87.212299845181903</v>
      </c>
      <c r="U9" s="129">
        <f t="shared" si="15"/>
        <v>99.592737814323016</v>
      </c>
      <c r="V9" s="130">
        <f t="shared" ca="1" si="16"/>
        <v>21.533564932826597</v>
      </c>
      <c r="W9" s="130">
        <f t="shared" si="17"/>
        <v>22.131719514294005</v>
      </c>
      <c r="X9" s="131"/>
      <c r="Y9" s="129">
        <f t="shared" ca="1" si="0"/>
        <v>3.6594036748597096</v>
      </c>
      <c r="Z9" s="129">
        <f t="shared" ca="1" si="1"/>
        <v>3.1169341096420724</v>
      </c>
      <c r="AA9" s="129">
        <f t="shared" ca="1" si="2"/>
        <v>4.5</v>
      </c>
      <c r="AB9" s="129">
        <f t="shared" ca="1" si="3"/>
        <v>3.925063243928185</v>
      </c>
      <c r="AC9" s="129"/>
      <c r="AD9" s="132">
        <f t="shared" si="18"/>
        <v>3.6821224944580955</v>
      </c>
      <c r="AE9" s="132">
        <f t="shared" si="19"/>
        <v>3.1543142688409347</v>
      </c>
      <c r="AF9" s="132">
        <f t="shared" si="20"/>
        <v>4.5</v>
      </c>
      <c r="AG9" s="132">
        <f t="shared" si="21"/>
        <v>3.940602075173369</v>
      </c>
    </row>
    <row r="10" spans="1:34" ht="50.1" customHeight="1">
      <c r="A10" s="20"/>
      <c r="B10" s="25"/>
      <c r="C10" s="21"/>
      <c r="D10" s="22"/>
      <c r="E10" s="29">
        <f ca="1">IF(MAX(E$4:E9)&lt;Courses,E9+1,0)</f>
        <v>7</v>
      </c>
      <c r="F10" s="23"/>
      <c r="G10" s="137">
        <f t="shared" si="22"/>
        <v>4.5</v>
      </c>
      <c r="H10" s="44">
        <f t="shared" si="4"/>
        <v>3.7157820573754528</v>
      </c>
      <c r="I10" s="44">
        <f t="shared" si="5"/>
        <v>3.0227619311191192</v>
      </c>
      <c r="J10" s="44">
        <f t="shared" si="6"/>
        <v>4.5</v>
      </c>
      <c r="K10" s="44">
        <f t="shared" si="7"/>
        <v>3.7762571904098783</v>
      </c>
      <c r="L10" s="118"/>
      <c r="M10" s="128">
        <f t="shared" si="8"/>
        <v>59.955170501730308</v>
      </c>
      <c r="N10" s="129">
        <f t="shared" ca="1" si="9"/>
        <v>9.0384500124329463</v>
      </c>
      <c r="O10" s="129">
        <f t="shared" si="23"/>
        <v>11.110670025624254</v>
      </c>
      <c r="P10" s="129">
        <f t="shared" ca="1" si="10"/>
        <v>11.29149851274382</v>
      </c>
      <c r="Q10" s="129">
        <f t="shared" ca="1" si="11"/>
        <v>13.455583331661801</v>
      </c>
      <c r="R10" s="129">
        <f t="shared" si="12"/>
        <v>56.790256317795837</v>
      </c>
      <c r="S10" s="129">
        <f t="shared" si="13"/>
        <v>69.810398657922946</v>
      </c>
      <c r="T10" s="129">
        <f t="shared" si="14"/>
        <v>70.946577551312117</v>
      </c>
      <c r="U10" s="129">
        <f t="shared" si="15"/>
        <v>84.543923489027975</v>
      </c>
      <c r="V10" s="130">
        <f t="shared" ca="1" si="16"/>
        <v>18.279767240870914</v>
      </c>
      <c r="W10" s="130">
        <f t="shared" si="17"/>
        <v>18.787538553117329</v>
      </c>
      <c r="X10" s="131"/>
      <c r="Y10" s="129">
        <f t="shared" ca="1" si="0"/>
        <v>3.6939982256358821</v>
      </c>
      <c r="Z10" s="129">
        <f t="shared" ca="1" si="1"/>
        <v>2.9817275403168724</v>
      </c>
      <c r="AA10" s="129">
        <f t="shared" ca="1" si="2"/>
        <v>4.5</v>
      </c>
      <c r="AB10" s="129">
        <f t="shared" ca="1" si="3"/>
        <v>3.7561532234768196</v>
      </c>
      <c r="AC10" s="129"/>
      <c r="AD10" s="132">
        <f t="shared" si="18"/>
        <v>3.7157820573754528</v>
      </c>
      <c r="AE10" s="132">
        <f t="shared" si="19"/>
        <v>3.0227619311191192</v>
      </c>
      <c r="AF10" s="132">
        <f t="shared" si="20"/>
        <v>4.5</v>
      </c>
      <c r="AG10" s="132">
        <f t="shared" si="21"/>
        <v>3.7762571904098783</v>
      </c>
    </row>
    <row r="11" spans="1:34" ht="50.1" customHeight="1">
      <c r="A11" s="20" t="s">
        <v>27</v>
      </c>
      <c r="B11" s="36">
        <f ca="1">((Diameter/2)^2+(Soldier-pivot)^2)^0.5</f>
        <v>18.052440970683161</v>
      </c>
      <c r="C11" s="21" t="s">
        <v>15</v>
      </c>
      <c r="D11" s="22"/>
      <c r="E11" s="29">
        <f ca="1">IF(MAX(E$4:E10)&lt;Courses,E10+1,0)</f>
        <v>8</v>
      </c>
      <c r="F11" s="23"/>
      <c r="G11" s="137">
        <v>3</v>
      </c>
      <c r="H11" s="44">
        <f t="shared" si="4"/>
        <v>2.5101143670253041</v>
      </c>
      <c r="I11" s="44">
        <f t="shared" si="5"/>
        <v>1.8864879965738255</v>
      </c>
      <c r="J11" s="44">
        <f t="shared" si="6"/>
        <v>3</v>
      </c>
      <c r="K11" s="44">
        <f t="shared" si="7"/>
        <v>2.3567399696099662</v>
      </c>
      <c r="L11" s="118"/>
      <c r="M11" s="128">
        <f t="shared" si="8"/>
        <v>67.896155225607728</v>
      </c>
      <c r="N11" s="129">
        <f t="shared" ca="1" si="9"/>
        <v>6.7928886747475481</v>
      </c>
      <c r="O11" s="129">
        <f t="shared" si="23"/>
        <v>9.0384500124329463</v>
      </c>
      <c r="P11" s="129">
        <f t="shared" ca="1" si="10"/>
        <v>8.4861776369441753</v>
      </c>
      <c r="Q11" s="129">
        <f t="shared" ca="1" si="11"/>
        <v>10.802436093552503</v>
      </c>
      <c r="R11" s="129">
        <f t="shared" si="12"/>
        <v>42.680978314480406</v>
      </c>
      <c r="S11" s="129">
        <f t="shared" si="13"/>
        <v>56.790256317795837</v>
      </c>
      <c r="T11" s="129">
        <f t="shared" si="14"/>
        <v>53.320226642563625</v>
      </c>
      <c r="U11" s="129">
        <f t="shared" si="15"/>
        <v>67.873707744755535</v>
      </c>
      <c r="V11" s="130">
        <f t="shared" ca="1" si="16"/>
        <v>21.719586478321773</v>
      </c>
      <c r="W11" s="130">
        <f t="shared" si="17"/>
        <v>22.624569248251845</v>
      </c>
      <c r="X11" s="131"/>
      <c r="Y11" s="129">
        <f t="shared" ca="1" si="0"/>
        <v>2.4897024656513582</v>
      </c>
      <c r="Z11" s="129">
        <f t="shared" ca="1" si="1"/>
        <v>1.8400916630977349</v>
      </c>
      <c r="AA11" s="129">
        <f t="shared" ca="1" si="2"/>
        <v>2.9999999999999996</v>
      </c>
      <c r="AB11" s="129">
        <f t="shared" ca="1" si="3"/>
        <v>2.3299374683437146</v>
      </c>
      <c r="AC11" s="129"/>
      <c r="AD11" s="132">
        <f t="shared" si="18"/>
        <v>2.5101143670253041</v>
      </c>
      <c r="AE11" s="132">
        <f t="shared" si="19"/>
        <v>1.8864879965738255</v>
      </c>
      <c r="AF11" s="132">
        <f t="shared" si="20"/>
        <v>3</v>
      </c>
      <c r="AG11" s="132">
        <f t="shared" si="21"/>
        <v>2.3567399696099662</v>
      </c>
    </row>
    <row r="12" spans="1:34" ht="50.1" customHeight="1">
      <c r="A12" s="20" t="s">
        <v>23</v>
      </c>
      <c r="B12" s="36">
        <f ca="1">pivot+IT</f>
        <v>19.177440970683161</v>
      </c>
      <c r="C12" s="21" t="s">
        <v>6</v>
      </c>
      <c r="D12" s="22"/>
      <c r="E12" s="29">
        <f ca="1">IF(MAX(E$4:E11)&lt;Courses,E11+1,0)</f>
        <v>9</v>
      </c>
      <c r="F12" s="23"/>
      <c r="G12" s="137">
        <v>3</v>
      </c>
      <c r="H12" s="44">
        <f t="shared" si="4"/>
        <v>2.5658983521637677</v>
      </c>
      <c r="I12" s="44">
        <f t="shared" si="5"/>
        <v>1.6684663404274995</v>
      </c>
      <c r="J12" s="44">
        <f t="shared" si="6"/>
        <v>3</v>
      </c>
      <c r="K12" s="44">
        <f t="shared" si="7"/>
        <v>2.0843712335174018</v>
      </c>
      <c r="L12" s="118"/>
      <c r="M12" s="128">
        <f t="shared" si="8"/>
        <v>75.837139949485149</v>
      </c>
      <c r="N12" s="129">
        <f t="shared" ca="1" si="9"/>
        <v>4.4170518674404908</v>
      </c>
      <c r="O12" s="129">
        <f t="shared" si="23"/>
        <v>6.7928886747475481</v>
      </c>
      <c r="P12" s="129">
        <f t="shared" ca="1" si="10"/>
        <v>5.5181070342050118</v>
      </c>
      <c r="Q12" s="129">
        <f t="shared" ca="1" si="11"/>
        <v>7.9421174291872276</v>
      </c>
      <c r="R12" s="129">
        <f t="shared" si="12"/>
        <v>27.753155394552245</v>
      </c>
      <c r="S12" s="129">
        <f t="shared" si="13"/>
        <v>42.680978314480406</v>
      </c>
      <c r="T12" s="129">
        <f t="shared" si="14"/>
        <v>34.671289040761252</v>
      </c>
      <c r="U12" s="129">
        <f t="shared" si="15"/>
        <v>49.901795538964095</v>
      </c>
      <c r="V12" s="130">
        <f t="shared" ca="1" si="16"/>
        <v>15.96857457246851</v>
      </c>
      <c r="W12" s="130">
        <f t="shared" si="17"/>
        <v>16.633931846321364</v>
      </c>
      <c r="X12" s="131"/>
      <c r="Y12" s="129">
        <f t="shared" ca="1" si="0"/>
        <v>2.5478107835039245</v>
      </c>
      <c r="Z12" s="129">
        <f t="shared" ca="1" si="1"/>
        <v>1.6129857712786451</v>
      </c>
      <c r="AA12" s="129">
        <f t="shared" ca="1" si="2"/>
        <v>3</v>
      </c>
      <c r="AB12" s="129">
        <f t="shared" ca="1" si="3"/>
        <v>2.0462200349139601</v>
      </c>
      <c r="AC12" s="129"/>
      <c r="AD12" s="132">
        <f t="shared" si="18"/>
        <v>2.5658983521637677</v>
      </c>
      <c r="AE12" s="132">
        <f t="shared" si="19"/>
        <v>1.6684663404274995</v>
      </c>
      <c r="AF12" s="132">
        <f t="shared" si="20"/>
        <v>3</v>
      </c>
      <c r="AG12" s="132">
        <f t="shared" si="21"/>
        <v>2.0843712335174018</v>
      </c>
    </row>
    <row r="13" spans="1:34" ht="50.1" customHeight="1">
      <c r="A13" s="20" t="s">
        <v>24</v>
      </c>
      <c r="B13" s="26">
        <f ca="1">((Diameter)^2/(4*(Dome_height-Soldier))+Dome_height-Soldier)/2</f>
        <v>18.052440970683161</v>
      </c>
      <c r="C13" s="21" t="s">
        <v>2</v>
      </c>
      <c r="D13" s="22"/>
      <c r="E13" s="29">
        <f ca="1">IF(MAX(E$4:E12)&lt;Courses,E12+1,0)</f>
        <v>10</v>
      </c>
      <c r="F13" s="23"/>
      <c r="G13" s="137">
        <v>2.5</v>
      </c>
      <c r="H13" s="44">
        <f t="shared" si="4"/>
        <v>2.2401191673341994</v>
      </c>
      <c r="I13" s="44">
        <f t="shared" si="5"/>
        <v>0.99224596185093306</v>
      </c>
      <c r="J13" s="44">
        <f t="shared" si="6"/>
        <v>2.5</v>
      </c>
      <c r="K13" s="44">
        <f t="shared" si="7"/>
        <v>1.2395868525138884</v>
      </c>
      <c r="L13" s="118"/>
      <c r="M13" s="128">
        <f t="shared" si="8"/>
        <v>83.778124673362569</v>
      </c>
      <c r="N13" s="129">
        <f t="shared" ca="1" si="9"/>
        <v>1.9565038961608454</v>
      </c>
      <c r="O13" s="129">
        <f t="shared" si="23"/>
        <v>4.4170518674404908</v>
      </c>
      <c r="P13" s="129">
        <f t="shared" ca="1" si="10"/>
        <v>2.444208996375369</v>
      </c>
      <c r="Q13" s="129">
        <f t="shared" ca="1" si="11"/>
        <v>4.92948314073052</v>
      </c>
      <c r="R13" s="129">
        <f t="shared" si="12"/>
        <v>12.293076533797439</v>
      </c>
      <c r="S13" s="129">
        <f t="shared" si="13"/>
        <v>27.753155394552245</v>
      </c>
      <c r="T13" s="129">
        <f t="shared" si="14"/>
        <v>15.357418053701881</v>
      </c>
      <c r="U13" s="129">
        <f t="shared" si="15"/>
        <v>30.972856041827484</v>
      </c>
      <c r="V13" s="130">
        <f t="shared" ca="1" si="16"/>
        <v>11.799183254029519</v>
      </c>
      <c r="W13" s="130">
        <f t="shared" si="17"/>
        <v>12.389142416730994</v>
      </c>
      <c r="X13" s="131"/>
      <c r="Y13" s="129">
        <f t="shared" ca="1" si="0"/>
        <v>2.2271251257009093</v>
      </c>
      <c r="Z13" s="129">
        <f t="shared" ca="1" si="1"/>
        <v>0.9168582599434798</v>
      </c>
      <c r="AA13" s="129">
        <f t="shared" ca="1" si="2"/>
        <v>2.5</v>
      </c>
      <c r="AB13" s="129">
        <f t="shared" ca="1" si="3"/>
        <v>1.1765661951395827</v>
      </c>
      <c r="AC13" s="129"/>
      <c r="AD13" s="132">
        <f t="shared" si="18"/>
        <v>2.2401191673341994</v>
      </c>
      <c r="AE13" s="132">
        <f t="shared" si="19"/>
        <v>0.99224596185093306</v>
      </c>
      <c r="AF13" s="132">
        <f t="shared" si="20"/>
        <v>2.5</v>
      </c>
      <c r="AG13" s="132">
        <f t="shared" si="21"/>
        <v>1.2395868525138884</v>
      </c>
    </row>
    <row r="14" spans="1:34" ht="50.1" customHeight="1">
      <c r="A14" s="20" t="s">
        <v>34</v>
      </c>
      <c r="B14" s="2">
        <f ca="1">90-DEGREES(ATAN((Soldier-pivot)/(Diameter/2)))</f>
        <v>85.631722565411621</v>
      </c>
      <c r="C14" s="21" t="s">
        <v>76</v>
      </c>
      <c r="D14" s="22"/>
      <c r="E14" s="29">
        <f ca="1">IF(MAX(E$4:E13)&lt;Courses,E13+1,0)</f>
        <v>0</v>
      </c>
      <c r="F14" s="23"/>
      <c r="G14" s="137">
        <f t="shared" ref="G14:G22" si="24">IF(E14&gt;0,G13,0)</f>
        <v>0</v>
      </c>
      <c r="H14" s="44" t="e">
        <f t="shared" si="4"/>
        <v>#DIV/0!</v>
      </c>
      <c r="I14" s="44" t="e">
        <f t="shared" si="5"/>
        <v>#DIV/0!</v>
      </c>
      <c r="J14" s="44" t="e">
        <f t="shared" si="6"/>
        <v>#DIV/0!</v>
      </c>
      <c r="K14" s="44" t="e">
        <f t="shared" si="7"/>
        <v>#DIV/0!</v>
      </c>
      <c r="L14" s="118"/>
      <c r="M14" s="128">
        <f t="shared" si="8"/>
        <v>0</v>
      </c>
      <c r="N14" s="129">
        <f t="shared" ca="1" si="9"/>
        <v>0</v>
      </c>
      <c r="O14" s="129">
        <f t="shared" si="23"/>
        <v>1.9565038961608454</v>
      </c>
      <c r="P14" s="129">
        <f t="shared" ca="1" si="10"/>
        <v>0</v>
      </c>
      <c r="Q14" s="129">
        <f t="shared" ca="1" si="11"/>
        <v>0</v>
      </c>
      <c r="R14" s="129">
        <f t="shared" si="12"/>
        <v>0</v>
      </c>
      <c r="S14" s="129">
        <f t="shared" si="13"/>
        <v>12.293076533797439</v>
      </c>
      <c r="T14" s="129">
        <f t="shared" si="14"/>
        <v>0</v>
      </c>
      <c r="U14" s="129">
        <f t="shared" si="15"/>
        <v>0</v>
      </c>
      <c r="V14" s="130">
        <f t="shared" ca="1" si="16"/>
        <v>0</v>
      </c>
      <c r="W14" s="130">
        <f t="shared" si="17"/>
        <v>0</v>
      </c>
      <c r="X14" s="131"/>
      <c r="Y14" s="129" t="e">
        <f t="shared" ca="1" si="0"/>
        <v>#DIV/0!</v>
      </c>
      <c r="Z14" s="129" t="e">
        <f t="shared" ca="1" si="1"/>
        <v>#DIV/0!</v>
      </c>
      <c r="AA14" s="129" t="e">
        <f t="shared" ca="1" si="2"/>
        <v>#DIV/0!</v>
      </c>
      <c r="AB14" s="129" t="e">
        <f t="shared" ca="1" si="3"/>
        <v>#DIV/0!</v>
      </c>
      <c r="AC14" s="129"/>
      <c r="AD14" s="132" t="e">
        <f t="shared" si="18"/>
        <v>#DIV/0!</v>
      </c>
      <c r="AE14" s="132" t="e">
        <f t="shared" si="19"/>
        <v>#DIV/0!</v>
      </c>
      <c r="AF14" s="132" t="e">
        <f t="shared" si="20"/>
        <v>#DIV/0!</v>
      </c>
      <c r="AG14" s="132" t="e">
        <f t="shared" si="21"/>
        <v>#DIV/0!</v>
      </c>
    </row>
    <row r="15" spans="1:34" ht="18.75" customHeight="1">
      <c r="A15" s="20" t="s">
        <v>26</v>
      </c>
      <c r="B15" s="37">
        <f ca="1">(Inner_arc_angle/360)*Dome_radius*2*PI()</f>
        <v>26.980374993886667</v>
      </c>
      <c r="C15" s="21" t="s">
        <v>3</v>
      </c>
      <c r="D15" s="22"/>
      <c r="E15" s="29">
        <f ca="1">IF(MAX(E$4:E14)&lt;Courses,E14+1,0)</f>
        <v>0</v>
      </c>
      <c r="F15" s="23"/>
      <c r="G15" s="137">
        <f t="shared" si="24"/>
        <v>0</v>
      </c>
      <c r="H15" s="44" t="e">
        <f t="shared" si="4"/>
        <v>#DIV/0!</v>
      </c>
      <c r="I15" s="44" t="e">
        <f t="shared" si="5"/>
        <v>#DIV/0!</v>
      </c>
      <c r="J15" s="44" t="e">
        <f t="shared" si="6"/>
        <v>#DIV/0!</v>
      </c>
      <c r="K15" s="44" t="e">
        <f t="shared" si="7"/>
        <v>#DIV/0!</v>
      </c>
      <c r="L15" s="118"/>
      <c r="M15" s="128">
        <f t="shared" si="8"/>
        <v>0</v>
      </c>
      <c r="N15" s="129">
        <f t="shared" ca="1" si="9"/>
        <v>0</v>
      </c>
      <c r="O15" s="129">
        <f t="shared" si="23"/>
        <v>0</v>
      </c>
      <c r="P15" s="129">
        <f t="shared" ca="1" si="10"/>
        <v>0</v>
      </c>
      <c r="Q15" s="129">
        <f t="shared" ca="1" si="11"/>
        <v>0</v>
      </c>
      <c r="R15" s="129">
        <f t="shared" ref="R15:R22" si="25">2*PI()*N15</f>
        <v>0</v>
      </c>
      <c r="S15" s="129">
        <f t="shared" si="13"/>
        <v>0</v>
      </c>
      <c r="T15" s="129">
        <f t="shared" ref="T15:T22" si="26">2*PI()*P15</f>
        <v>0</v>
      </c>
      <c r="U15" s="129">
        <f t="shared" si="15"/>
        <v>0</v>
      </c>
      <c r="V15" s="130">
        <f t="shared" ca="1" si="16"/>
        <v>0</v>
      </c>
      <c r="W15" s="130">
        <f t="shared" si="17"/>
        <v>0</v>
      </c>
      <c r="X15" s="131"/>
      <c r="Y15" s="129" t="e">
        <f t="shared" ca="1" si="0"/>
        <v>#DIV/0!</v>
      </c>
      <c r="Z15" s="129" t="e">
        <f t="shared" ca="1" si="1"/>
        <v>#DIV/0!</v>
      </c>
      <c r="AA15" s="129" t="e">
        <f t="shared" ca="1" si="2"/>
        <v>#DIV/0!</v>
      </c>
      <c r="AB15" s="129" t="e">
        <f t="shared" ca="1" si="3"/>
        <v>#DIV/0!</v>
      </c>
      <c r="AC15" s="129"/>
      <c r="AD15" s="132" t="e">
        <f t="shared" si="18"/>
        <v>#DIV/0!</v>
      </c>
      <c r="AE15" s="132" t="e">
        <f t="shared" si="19"/>
        <v>#DIV/0!</v>
      </c>
      <c r="AF15" s="132" t="e">
        <f t="shared" si="20"/>
        <v>#DIV/0!</v>
      </c>
      <c r="AG15" s="132" t="e">
        <f t="shared" si="21"/>
        <v>#DIV/0!</v>
      </c>
    </row>
    <row r="16" spans="1:34" ht="18.75">
      <c r="A16" s="20" t="s">
        <v>28</v>
      </c>
      <c r="B16" s="27">
        <f ca="1">ROUNDDOWN(Dome_arc/Brick,0)</f>
        <v>10</v>
      </c>
      <c r="C16" s="24" t="s">
        <v>11</v>
      </c>
      <c r="D16" s="22"/>
      <c r="E16" s="29">
        <f ca="1">IF(MAX(E$4:E15)&lt;Courses,E15+1,0)</f>
        <v>0</v>
      </c>
      <c r="F16" s="23"/>
      <c r="G16" s="137">
        <f t="shared" si="24"/>
        <v>0</v>
      </c>
      <c r="H16" s="44" t="e">
        <f t="shared" si="4"/>
        <v>#DIV/0!</v>
      </c>
      <c r="I16" s="44" t="e">
        <f t="shared" si="5"/>
        <v>#DIV/0!</v>
      </c>
      <c r="J16" s="44" t="e">
        <f t="shared" si="6"/>
        <v>#DIV/0!</v>
      </c>
      <c r="K16" s="44" t="e">
        <f t="shared" si="7"/>
        <v>#DIV/0!</v>
      </c>
      <c r="L16" s="118"/>
      <c r="M16" s="128">
        <f t="shared" si="8"/>
        <v>0</v>
      </c>
      <c r="N16" s="129">
        <f t="shared" ca="1" si="9"/>
        <v>0</v>
      </c>
      <c r="O16" s="129">
        <f t="shared" si="23"/>
        <v>0</v>
      </c>
      <c r="P16" s="129">
        <f t="shared" ca="1" si="10"/>
        <v>0</v>
      </c>
      <c r="Q16" s="129">
        <f t="shared" ca="1" si="11"/>
        <v>0</v>
      </c>
      <c r="R16" s="129">
        <f t="shared" si="25"/>
        <v>0</v>
      </c>
      <c r="S16" s="129">
        <f t="shared" si="13"/>
        <v>0</v>
      </c>
      <c r="T16" s="129">
        <f t="shared" si="26"/>
        <v>0</v>
      </c>
      <c r="U16" s="129">
        <f t="shared" si="15"/>
        <v>0</v>
      </c>
      <c r="V16" s="130">
        <f t="shared" ca="1" si="16"/>
        <v>0</v>
      </c>
      <c r="W16" s="130">
        <f t="shared" si="17"/>
        <v>0</v>
      </c>
      <c r="X16" s="131"/>
      <c r="Y16" s="129" t="e">
        <f t="shared" ca="1" si="0"/>
        <v>#DIV/0!</v>
      </c>
      <c r="Z16" s="129" t="e">
        <f t="shared" ca="1" si="1"/>
        <v>#DIV/0!</v>
      </c>
      <c r="AA16" s="129" t="e">
        <f t="shared" ca="1" si="2"/>
        <v>#DIV/0!</v>
      </c>
      <c r="AB16" s="129" t="e">
        <f t="shared" ca="1" si="3"/>
        <v>#DIV/0!</v>
      </c>
      <c r="AC16" s="129"/>
      <c r="AD16" s="132" t="e">
        <f t="shared" si="18"/>
        <v>#DIV/0!</v>
      </c>
      <c r="AE16" s="132" t="e">
        <f t="shared" si="19"/>
        <v>#DIV/0!</v>
      </c>
      <c r="AF16" s="132" t="e">
        <f t="shared" si="20"/>
        <v>#DIV/0!</v>
      </c>
      <c r="AG16" s="132" t="e">
        <f t="shared" si="21"/>
        <v>#DIV/0!</v>
      </c>
    </row>
    <row r="17" spans="1:33" ht="18.75">
      <c r="A17" s="20" t="s">
        <v>33</v>
      </c>
      <c r="B17" s="37">
        <f ca="1">2*(Dome_arc-Courses*Brick)</f>
        <v>3.9607499877733332</v>
      </c>
      <c r="C17" s="24" t="s">
        <v>18</v>
      </c>
      <c r="D17" s="22"/>
      <c r="E17" s="29">
        <f ca="1">IF(MAX(E$4:E16)&lt;Courses,E16+1,0)</f>
        <v>0</v>
      </c>
      <c r="F17" s="23"/>
      <c r="G17" s="137">
        <f t="shared" si="24"/>
        <v>0</v>
      </c>
      <c r="H17" s="44" t="e">
        <f t="shared" si="4"/>
        <v>#DIV/0!</v>
      </c>
      <c r="I17" s="44" t="e">
        <f t="shared" si="5"/>
        <v>#DIV/0!</v>
      </c>
      <c r="J17" s="44" t="e">
        <f t="shared" si="6"/>
        <v>#DIV/0!</v>
      </c>
      <c r="K17" s="44" t="e">
        <f t="shared" si="7"/>
        <v>#DIV/0!</v>
      </c>
      <c r="L17" s="118"/>
      <c r="M17" s="128">
        <f t="shared" si="8"/>
        <v>0</v>
      </c>
      <c r="N17" s="129">
        <f t="shared" ca="1" si="9"/>
        <v>0</v>
      </c>
      <c r="O17" s="129">
        <f t="shared" si="23"/>
        <v>0</v>
      </c>
      <c r="P17" s="129">
        <f t="shared" ca="1" si="10"/>
        <v>0</v>
      </c>
      <c r="Q17" s="129">
        <f t="shared" ca="1" si="11"/>
        <v>0</v>
      </c>
      <c r="R17" s="129">
        <f t="shared" si="25"/>
        <v>0</v>
      </c>
      <c r="S17" s="129">
        <f t="shared" si="13"/>
        <v>0</v>
      </c>
      <c r="T17" s="129">
        <f t="shared" si="26"/>
        <v>0</v>
      </c>
      <c r="U17" s="129">
        <f t="shared" si="15"/>
        <v>0</v>
      </c>
      <c r="V17" s="130">
        <f t="shared" ca="1" si="16"/>
        <v>0</v>
      </c>
      <c r="W17" s="130">
        <f t="shared" si="17"/>
        <v>0</v>
      </c>
      <c r="X17" s="131"/>
      <c r="Y17" s="129" t="e">
        <f t="shared" ca="1" si="0"/>
        <v>#DIV/0!</v>
      </c>
      <c r="Z17" s="129" t="e">
        <f t="shared" ca="1" si="1"/>
        <v>#DIV/0!</v>
      </c>
      <c r="AA17" s="129" t="e">
        <f t="shared" ca="1" si="2"/>
        <v>#DIV/0!</v>
      </c>
      <c r="AB17" s="129" t="e">
        <f t="shared" ca="1" si="3"/>
        <v>#DIV/0!</v>
      </c>
      <c r="AC17" s="129"/>
      <c r="AD17" s="132" t="e">
        <f t="shared" si="18"/>
        <v>#DIV/0!</v>
      </c>
      <c r="AE17" s="132" t="e">
        <f t="shared" si="19"/>
        <v>#DIV/0!</v>
      </c>
      <c r="AF17" s="132" t="e">
        <f t="shared" si="20"/>
        <v>#DIV/0!</v>
      </c>
      <c r="AG17" s="132" t="e">
        <f t="shared" si="21"/>
        <v>#DIV/0!</v>
      </c>
    </row>
    <row r="18" spans="1:33" ht="18.75">
      <c r="A18" s="142" t="s">
        <v>19</v>
      </c>
      <c r="B18" s="142"/>
      <c r="C18" s="24"/>
      <c r="D18" s="22"/>
      <c r="E18" s="29">
        <f ca="1">IF(MAX(E$4:E17)&lt;Courses,E17+1,0)</f>
        <v>0</v>
      </c>
      <c r="F18" s="23"/>
      <c r="G18" s="137">
        <f t="shared" si="24"/>
        <v>0</v>
      </c>
      <c r="H18" s="44" t="e">
        <f t="shared" si="4"/>
        <v>#DIV/0!</v>
      </c>
      <c r="I18" s="44" t="e">
        <f t="shared" si="5"/>
        <v>#DIV/0!</v>
      </c>
      <c r="J18" s="44" t="e">
        <f t="shared" si="6"/>
        <v>#DIV/0!</v>
      </c>
      <c r="K18" s="44" t="e">
        <f t="shared" si="7"/>
        <v>#DIV/0!</v>
      </c>
      <c r="L18" s="118"/>
      <c r="M18" s="128">
        <f t="shared" si="8"/>
        <v>0</v>
      </c>
      <c r="N18" s="129">
        <f t="shared" ca="1" si="9"/>
        <v>0</v>
      </c>
      <c r="O18" s="129">
        <f t="shared" si="23"/>
        <v>0</v>
      </c>
      <c r="P18" s="129">
        <f t="shared" ca="1" si="10"/>
        <v>0</v>
      </c>
      <c r="Q18" s="129">
        <f t="shared" ca="1" si="11"/>
        <v>0</v>
      </c>
      <c r="R18" s="129">
        <f t="shared" si="25"/>
        <v>0</v>
      </c>
      <c r="S18" s="129">
        <f t="shared" si="13"/>
        <v>0</v>
      </c>
      <c r="T18" s="129">
        <f t="shared" si="26"/>
        <v>0</v>
      </c>
      <c r="U18" s="129">
        <f t="shared" si="15"/>
        <v>0</v>
      </c>
      <c r="V18" s="130">
        <f t="shared" ca="1" si="16"/>
        <v>0</v>
      </c>
      <c r="W18" s="130">
        <f t="shared" si="17"/>
        <v>0</v>
      </c>
      <c r="X18" s="131"/>
      <c r="Y18" s="129" t="e">
        <f t="shared" ca="1" si="0"/>
        <v>#DIV/0!</v>
      </c>
      <c r="Z18" s="129" t="e">
        <f t="shared" ca="1" si="1"/>
        <v>#DIV/0!</v>
      </c>
      <c r="AA18" s="129" t="e">
        <f t="shared" ca="1" si="2"/>
        <v>#DIV/0!</v>
      </c>
      <c r="AB18" s="129" t="e">
        <f t="shared" ca="1" si="3"/>
        <v>#DIV/0!</v>
      </c>
      <c r="AC18" s="129"/>
      <c r="AD18" s="132" t="e">
        <f t="shared" si="18"/>
        <v>#DIV/0!</v>
      </c>
      <c r="AE18" s="132" t="e">
        <f t="shared" si="19"/>
        <v>#DIV/0!</v>
      </c>
      <c r="AF18" s="132" t="e">
        <f t="shared" si="20"/>
        <v>#DIV/0!</v>
      </c>
      <c r="AG18" s="132" t="e">
        <f t="shared" si="21"/>
        <v>#DIV/0!</v>
      </c>
    </row>
    <row r="19" spans="1:33" ht="18.75">
      <c r="A19" s="20" t="s">
        <v>32</v>
      </c>
      <c r="B19" s="28">
        <f>SUM(W3:W22)/2</f>
        <v>134.09412322518051</v>
      </c>
      <c r="C19" s="24" t="s">
        <v>17</v>
      </c>
      <c r="D19" s="22"/>
      <c r="E19" s="29">
        <f ca="1">IF(MAX(E$4:E18)&lt;Courses,E18+1,0)</f>
        <v>0</v>
      </c>
      <c r="F19" s="23"/>
      <c r="G19" s="137">
        <f t="shared" si="24"/>
        <v>0</v>
      </c>
      <c r="H19" s="44" t="e">
        <f t="shared" si="4"/>
        <v>#DIV/0!</v>
      </c>
      <c r="I19" s="44" t="e">
        <f t="shared" si="5"/>
        <v>#DIV/0!</v>
      </c>
      <c r="J19" s="44" t="e">
        <f t="shared" si="6"/>
        <v>#DIV/0!</v>
      </c>
      <c r="K19" s="44" t="e">
        <f t="shared" si="7"/>
        <v>#DIV/0!</v>
      </c>
      <c r="L19" s="118"/>
      <c r="M19" s="128">
        <f t="shared" si="8"/>
        <v>0</v>
      </c>
      <c r="N19" s="129">
        <f t="shared" ca="1" si="9"/>
        <v>0</v>
      </c>
      <c r="O19" s="129">
        <f t="shared" si="23"/>
        <v>0</v>
      </c>
      <c r="P19" s="129">
        <f t="shared" ca="1" si="10"/>
        <v>0</v>
      </c>
      <c r="Q19" s="129">
        <f t="shared" ca="1" si="11"/>
        <v>0</v>
      </c>
      <c r="R19" s="129">
        <f t="shared" si="25"/>
        <v>0</v>
      </c>
      <c r="S19" s="129">
        <f t="shared" si="13"/>
        <v>0</v>
      </c>
      <c r="T19" s="129">
        <f t="shared" si="26"/>
        <v>0</v>
      </c>
      <c r="U19" s="129">
        <f t="shared" si="15"/>
        <v>0</v>
      </c>
      <c r="V19" s="130">
        <f t="shared" ca="1" si="16"/>
        <v>0</v>
      </c>
      <c r="W19" s="130">
        <f t="shared" si="17"/>
        <v>0</v>
      </c>
      <c r="X19" s="131"/>
      <c r="Y19" s="129" t="e">
        <f t="shared" ca="1" si="0"/>
        <v>#DIV/0!</v>
      </c>
      <c r="Z19" s="129" t="e">
        <f t="shared" ca="1" si="1"/>
        <v>#DIV/0!</v>
      </c>
      <c r="AA19" s="129" t="e">
        <f t="shared" ca="1" si="2"/>
        <v>#DIV/0!</v>
      </c>
      <c r="AB19" s="129" t="e">
        <f t="shared" ca="1" si="3"/>
        <v>#DIV/0!</v>
      </c>
      <c r="AC19" s="129"/>
      <c r="AD19" s="132" t="e">
        <f t="shared" si="18"/>
        <v>#DIV/0!</v>
      </c>
      <c r="AE19" s="132" t="e">
        <f t="shared" si="19"/>
        <v>#DIV/0!</v>
      </c>
      <c r="AF19" s="132" t="e">
        <f t="shared" si="20"/>
        <v>#DIV/0!</v>
      </c>
      <c r="AG19" s="132" t="e">
        <f t="shared" si="21"/>
        <v>#DIV/0!</v>
      </c>
    </row>
    <row r="20" spans="1:33" ht="18.75">
      <c r="A20" s="20"/>
      <c r="B20" s="28"/>
      <c r="C20" s="24"/>
      <c r="D20" s="22"/>
      <c r="E20" s="29">
        <f ca="1">IF(MAX(E$4:E19)&lt;Courses,E19+1,0)</f>
        <v>0</v>
      </c>
      <c r="F20" s="23"/>
      <c r="G20" s="137">
        <f t="shared" si="24"/>
        <v>0</v>
      </c>
      <c r="H20" s="44" t="e">
        <f t="shared" si="4"/>
        <v>#DIV/0!</v>
      </c>
      <c r="I20" s="44" t="e">
        <f t="shared" si="5"/>
        <v>#DIV/0!</v>
      </c>
      <c r="J20" s="44" t="e">
        <f t="shared" si="6"/>
        <v>#DIV/0!</v>
      </c>
      <c r="K20" s="44" t="e">
        <f t="shared" si="7"/>
        <v>#DIV/0!</v>
      </c>
      <c r="L20" s="118"/>
      <c r="M20" s="128">
        <f t="shared" si="8"/>
        <v>0</v>
      </c>
      <c r="N20" s="129">
        <f t="shared" ca="1" si="9"/>
        <v>0</v>
      </c>
      <c r="O20" s="129">
        <f t="shared" si="23"/>
        <v>0</v>
      </c>
      <c r="P20" s="129">
        <f t="shared" ca="1" si="10"/>
        <v>0</v>
      </c>
      <c r="Q20" s="129">
        <f t="shared" ca="1" si="11"/>
        <v>0</v>
      </c>
      <c r="R20" s="129">
        <f t="shared" si="25"/>
        <v>0</v>
      </c>
      <c r="S20" s="129">
        <f t="shared" si="13"/>
        <v>0</v>
      </c>
      <c r="T20" s="129">
        <f t="shared" si="26"/>
        <v>0</v>
      </c>
      <c r="U20" s="129">
        <f t="shared" si="15"/>
        <v>0</v>
      </c>
      <c r="V20" s="130">
        <f t="shared" ca="1" si="16"/>
        <v>0</v>
      </c>
      <c r="W20" s="130">
        <f t="shared" si="17"/>
        <v>0</v>
      </c>
      <c r="X20" s="131"/>
      <c r="Y20" s="129" t="e">
        <f t="shared" ca="1" si="0"/>
        <v>#DIV/0!</v>
      </c>
      <c r="Z20" s="129" t="e">
        <f t="shared" ca="1" si="1"/>
        <v>#DIV/0!</v>
      </c>
      <c r="AA20" s="129" t="e">
        <f t="shared" ca="1" si="2"/>
        <v>#DIV/0!</v>
      </c>
      <c r="AB20" s="129" t="e">
        <f t="shared" ca="1" si="3"/>
        <v>#DIV/0!</v>
      </c>
      <c r="AC20" s="129"/>
      <c r="AD20" s="132" t="e">
        <f t="shared" si="18"/>
        <v>#DIV/0!</v>
      </c>
      <c r="AE20" s="132" t="e">
        <f t="shared" si="19"/>
        <v>#DIV/0!</v>
      </c>
      <c r="AF20" s="132" t="e">
        <f t="shared" si="20"/>
        <v>#DIV/0!</v>
      </c>
      <c r="AG20" s="132" t="e">
        <f t="shared" si="21"/>
        <v>#DIV/0!</v>
      </c>
    </row>
    <row r="21" spans="1:33" ht="18.75" customHeight="1">
      <c r="A21" s="20"/>
      <c r="B21" s="28"/>
      <c r="C21" s="24"/>
      <c r="D21" s="22"/>
      <c r="E21" s="29">
        <f ca="1">IF(MAX(E$4:E20)&lt;Courses,E20+1,0)</f>
        <v>0</v>
      </c>
      <c r="F21" s="23"/>
      <c r="G21" s="137">
        <f t="shared" si="24"/>
        <v>0</v>
      </c>
      <c r="H21" s="44" t="e">
        <f t="shared" si="4"/>
        <v>#DIV/0!</v>
      </c>
      <c r="I21" s="44" t="e">
        <f t="shared" si="5"/>
        <v>#DIV/0!</v>
      </c>
      <c r="J21" s="44" t="e">
        <f t="shared" si="6"/>
        <v>#DIV/0!</v>
      </c>
      <c r="K21" s="44" t="e">
        <f t="shared" si="7"/>
        <v>#DIV/0!</v>
      </c>
      <c r="L21" s="118"/>
      <c r="M21" s="128">
        <f t="shared" si="8"/>
        <v>0</v>
      </c>
      <c r="N21" s="129">
        <f t="shared" ca="1" si="9"/>
        <v>0</v>
      </c>
      <c r="O21" s="129">
        <f t="shared" si="23"/>
        <v>0</v>
      </c>
      <c r="P21" s="129">
        <f t="shared" ca="1" si="10"/>
        <v>0</v>
      </c>
      <c r="Q21" s="129">
        <f t="shared" ca="1" si="11"/>
        <v>0</v>
      </c>
      <c r="R21" s="129">
        <f t="shared" si="25"/>
        <v>0</v>
      </c>
      <c r="S21" s="129">
        <f t="shared" si="13"/>
        <v>0</v>
      </c>
      <c r="T21" s="129">
        <f t="shared" si="26"/>
        <v>0</v>
      </c>
      <c r="U21" s="129">
        <f t="shared" si="15"/>
        <v>0</v>
      </c>
      <c r="V21" s="130">
        <f t="shared" ca="1" si="16"/>
        <v>0</v>
      </c>
      <c r="W21" s="130">
        <f t="shared" si="17"/>
        <v>0</v>
      </c>
      <c r="X21" s="131"/>
      <c r="Y21" s="129" t="e">
        <f t="shared" ca="1" si="0"/>
        <v>#DIV/0!</v>
      </c>
      <c r="Z21" s="129" t="e">
        <f t="shared" ca="1" si="1"/>
        <v>#DIV/0!</v>
      </c>
      <c r="AA21" s="129" t="e">
        <f t="shared" ca="1" si="2"/>
        <v>#DIV/0!</v>
      </c>
      <c r="AB21" s="129" t="e">
        <f t="shared" ca="1" si="3"/>
        <v>#DIV/0!</v>
      </c>
      <c r="AC21" s="129"/>
      <c r="AD21" s="132" t="e">
        <f t="shared" si="18"/>
        <v>#DIV/0!</v>
      </c>
      <c r="AE21" s="132" t="e">
        <f t="shared" si="19"/>
        <v>#DIV/0!</v>
      </c>
      <c r="AF21" s="132" t="e">
        <f t="shared" si="20"/>
        <v>#DIV/0!</v>
      </c>
      <c r="AG21" s="132" t="e">
        <f t="shared" si="21"/>
        <v>#DIV/0!</v>
      </c>
    </row>
    <row r="22" spans="1:33" ht="19.5" customHeight="1">
      <c r="A22" s="20"/>
      <c r="B22" s="28"/>
      <c r="C22" s="24"/>
      <c r="D22" s="22"/>
      <c r="E22" s="29">
        <f ca="1">IF(MAX(E$4:E21)&lt;Courses,E21+1,0)</f>
        <v>0</v>
      </c>
      <c r="F22" s="23"/>
      <c r="G22" s="137">
        <f t="shared" si="24"/>
        <v>0</v>
      </c>
      <c r="H22" s="44" t="e">
        <f t="shared" si="4"/>
        <v>#DIV/0!</v>
      </c>
      <c r="I22" s="44" t="e">
        <f t="shared" si="5"/>
        <v>#DIV/0!</v>
      </c>
      <c r="J22" s="44" t="e">
        <f t="shared" si="6"/>
        <v>#DIV/0!</v>
      </c>
      <c r="K22" s="44" t="e">
        <f t="shared" si="7"/>
        <v>#DIV/0!</v>
      </c>
      <c r="L22" s="118"/>
      <c r="M22" s="128">
        <f t="shared" si="8"/>
        <v>0</v>
      </c>
      <c r="N22" s="129">
        <f t="shared" ca="1" si="9"/>
        <v>0</v>
      </c>
      <c r="O22" s="129">
        <f t="shared" si="23"/>
        <v>0</v>
      </c>
      <c r="P22" s="129">
        <f t="shared" ca="1" si="10"/>
        <v>0</v>
      </c>
      <c r="Q22" s="129">
        <f t="shared" ca="1" si="11"/>
        <v>0</v>
      </c>
      <c r="R22" s="129">
        <f t="shared" si="25"/>
        <v>0</v>
      </c>
      <c r="S22" s="129">
        <f t="shared" si="13"/>
        <v>0</v>
      </c>
      <c r="T22" s="129">
        <f t="shared" si="26"/>
        <v>0</v>
      </c>
      <c r="U22" s="129">
        <f t="shared" si="15"/>
        <v>0</v>
      </c>
      <c r="V22" s="130">
        <f t="shared" ca="1" si="16"/>
        <v>0</v>
      </c>
      <c r="W22" s="130">
        <f t="shared" si="17"/>
        <v>0</v>
      </c>
      <c r="X22" s="131"/>
      <c r="Y22" s="129" t="e">
        <f t="shared" ca="1" si="0"/>
        <v>#DIV/0!</v>
      </c>
      <c r="Z22" s="129" t="e">
        <f t="shared" ca="1" si="1"/>
        <v>#DIV/0!</v>
      </c>
      <c r="AA22" s="129" t="e">
        <f t="shared" ca="1" si="2"/>
        <v>#DIV/0!</v>
      </c>
      <c r="AB22" s="129" t="e">
        <f t="shared" ca="1" si="3"/>
        <v>#DIV/0!</v>
      </c>
      <c r="AC22" s="129"/>
      <c r="AD22" s="132" t="e">
        <f t="shared" si="18"/>
        <v>#DIV/0!</v>
      </c>
      <c r="AE22" s="132" t="e">
        <f t="shared" si="19"/>
        <v>#DIV/0!</v>
      </c>
      <c r="AF22" s="132" t="e">
        <f t="shared" si="20"/>
        <v>#DIV/0!</v>
      </c>
      <c r="AG22" s="132" t="e">
        <f t="shared" si="21"/>
        <v>#DIV/0!</v>
      </c>
    </row>
    <row r="23" spans="1:33">
      <c r="G23" s="34"/>
      <c r="H23" s="117"/>
      <c r="I23" s="117"/>
      <c r="J23" s="117"/>
      <c r="K23" s="117"/>
      <c r="L23" s="11"/>
      <c r="AD23" s="11"/>
      <c r="AE23" s="11"/>
      <c r="AF23" s="11"/>
      <c r="AG23" s="11"/>
    </row>
    <row r="24" spans="1:33" ht="15" customHeight="1"/>
    <row r="25" spans="1:33">
      <c r="H25" s="40"/>
      <c r="AD25" s="40"/>
    </row>
  </sheetData>
  <sheetProtection password="CD86" sheet="1" objects="1" formatCells="0" formatColumns="0" selectLockedCells="1"/>
  <mergeCells count="6">
    <mergeCell ref="Y1:AA1"/>
    <mergeCell ref="AD1:AE1"/>
    <mergeCell ref="A18:B18"/>
    <mergeCell ref="B1:B2"/>
    <mergeCell ref="E1:E2"/>
    <mergeCell ref="H1:I1"/>
  </mergeCells>
  <phoneticPr fontId="9" type="noConversion"/>
  <pageMargins left="0" right="0" top="0.26" bottom="0" header="0" footer="0"/>
  <pageSetup scale="39" orientation="landscape" horizontalDpi="4294967295" verticalDpi="4294967295" r:id="rId1"/>
  <colBreaks count="1" manualBreakCount="1">
    <brk id="4" max="21" man="1"/>
  </colBreaks>
</worksheet>
</file>

<file path=xl/worksheets/sheet3.xml><?xml version="1.0" encoding="utf-8"?>
<worksheet xmlns="http://schemas.openxmlformats.org/spreadsheetml/2006/main" xmlns:r="http://schemas.openxmlformats.org/officeDocument/2006/relationships">
  <dimension ref="A1:AN39"/>
  <sheetViews>
    <sheetView zoomScale="80" workbookViewId="0"/>
  </sheetViews>
  <sheetFormatPr defaultRowHeight="15"/>
  <cols>
    <col min="1" max="1" width="38" customWidth="1"/>
    <col min="2" max="2" width="13.42578125" customWidth="1"/>
    <col min="3" max="3" width="80.140625" customWidth="1"/>
    <col min="4" max="4" width="4.42578125" style="10" customWidth="1"/>
    <col min="5" max="5" width="10.42578125" customWidth="1"/>
    <col min="6" max="6" width="2" customWidth="1"/>
    <col min="7" max="7" width="15.85546875" style="95" hidden="1" customWidth="1"/>
    <col min="8" max="8" width="10.140625" style="95" hidden="1" customWidth="1"/>
    <col min="9" max="9" width="13.140625" style="95" hidden="1" customWidth="1"/>
    <col min="10" max="10" width="12" style="95" hidden="1" customWidth="1"/>
    <col min="11" max="11" width="10.42578125" style="95" hidden="1" customWidth="1"/>
    <col min="12" max="12" width="9.28515625" style="95" hidden="1" customWidth="1"/>
    <col min="13" max="13" width="14.42578125" style="95" hidden="1" customWidth="1"/>
    <col min="14" max="14" width="14.140625" style="95" hidden="1" customWidth="1"/>
    <col min="15" max="15" width="13.85546875" style="95" hidden="1" customWidth="1"/>
    <col min="16" max="16" width="14.140625" style="95" hidden="1" customWidth="1"/>
    <col min="17" max="18" width="13.42578125" style="95" hidden="1" customWidth="1"/>
    <col min="19" max="19" width="1.5703125" style="95" hidden="1" customWidth="1"/>
    <col min="20" max="20" width="14.85546875" style="95" hidden="1" customWidth="1"/>
    <col min="21" max="21" width="12.28515625" style="95" hidden="1" customWidth="1"/>
    <col min="22" max="22" width="12.140625" style="95" hidden="1" customWidth="1"/>
    <col min="23" max="23" width="13.28515625" style="95" hidden="1" customWidth="1"/>
    <col min="24" max="24" width="1.5703125" style="95" hidden="1" customWidth="1"/>
    <col min="25" max="28" width="9.28515625" customWidth="1"/>
    <col min="29" max="29" width="1.85546875" customWidth="1"/>
    <col min="30" max="34" width="18.42578125" customWidth="1"/>
    <col min="35" max="35" width="2.140625" style="10" customWidth="1"/>
    <col min="36" max="36" width="24.85546875" customWidth="1"/>
    <col min="37" max="37" width="17.28515625" customWidth="1"/>
    <col min="38" max="38" width="15.85546875" customWidth="1"/>
    <col min="39" max="39" width="27.140625" customWidth="1"/>
  </cols>
  <sheetData>
    <row r="1" spans="1:40" ht="57.75" customHeight="1">
      <c r="A1" s="75" t="s">
        <v>101</v>
      </c>
      <c r="B1" s="153" t="s">
        <v>108</v>
      </c>
      <c r="C1" s="97"/>
      <c r="D1" s="31"/>
      <c r="E1" s="154" t="s">
        <v>13</v>
      </c>
      <c r="F1" s="16"/>
      <c r="G1" s="78" t="s">
        <v>107</v>
      </c>
      <c r="H1" s="79"/>
      <c r="I1" s="80"/>
      <c r="J1" s="80"/>
      <c r="K1" s="81"/>
      <c r="L1" s="80"/>
      <c r="M1" s="80"/>
      <c r="N1" s="80"/>
      <c r="O1" s="80"/>
      <c r="P1" s="80"/>
      <c r="Q1" s="82"/>
      <c r="R1" s="82"/>
      <c r="S1" s="83"/>
      <c r="T1" s="155" t="s">
        <v>63</v>
      </c>
      <c r="U1" s="156"/>
      <c r="V1" s="156"/>
      <c r="W1" s="84"/>
      <c r="X1" s="80"/>
      <c r="Y1" s="150" t="s">
        <v>103</v>
      </c>
      <c r="Z1" s="151"/>
      <c r="AA1" s="151"/>
      <c r="AB1" s="152"/>
      <c r="AC1" s="35"/>
      <c r="AD1" s="47" t="s">
        <v>64</v>
      </c>
      <c r="AE1" s="48"/>
      <c r="AF1" s="48"/>
      <c r="AG1" s="49"/>
      <c r="AH1" s="50"/>
      <c r="AI1" s="35"/>
      <c r="AJ1" s="147" t="s">
        <v>83</v>
      </c>
      <c r="AK1" s="148"/>
      <c r="AL1" s="148"/>
      <c r="AM1" s="51"/>
      <c r="AN1" s="7"/>
    </row>
    <row r="2" spans="1:40" ht="135" customHeight="1">
      <c r="A2" s="101"/>
      <c r="B2" s="153"/>
      <c r="C2" s="53" t="s">
        <v>0</v>
      </c>
      <c r="D2" s="32"/>
      <c r="E2" s="154" t="s">
        <v>12</v>
      </c>
      <c r="F2" s="19"/>
      <c r="G2" s="85" t="s">
        <v>109</v>
      </c>
      <c r="H2" s="86" t="s">
        <v>48</v>
      </c>
      <c r="I2" s="86" t="s">
        <v>45</v>
      </c>
      <c r="J2" s="86" t="s">
        <v>44</v>
      </c>
      <c r="K2" s="86" t="s">
        <v>46</v>
      </c>
      <c r="L2" s="86" t="s">
        <v>39</v>
      </c>
      <c r="M2" s="86" t="s">
        <v>37</v>
      </c>
      <c r="N2" s="86" t="s">
        <v>40</v>
      </c>
      <c r="O2" s="86" t="s">
        <v>38</v>
      </c>
      <c r="P2" s="86" t="s">
        <v>41</v>
      </c>
      <c r="Q2" s="87" t="s">
        <v>42</v>
      </c>
      <c r="R2" s="87" t="s">
        <v>43</v>
      </c>
      <c r="S2" s="87"/>
      <c r="T2" s="88" t="s">
        <v>63</v>
      </c>
      <c r="U2" s="88" t="s">
        <v>50</v>
      </c>
      <c r="V2" s="85" t="s">
        <v>51</v>
      </c>
      <c r="W2" s="85" t="s">
        <v>52</v>
      </c>
      <c r="X2" s="86"/>
      <c r="Y2" s="77" t="s">
        <v>49</v>
      </c>
      <c r="Z2" s="77" t="s">
        <v>50</v>
      </c>
      <c r="AA2" s="76" t="s">
        <v>51</v>
      </c>
      <c r="AB2" s="76" t="s">
        <v>52</v>
      </c>
      <c r="AC2" s="39"/>
      <c r="AD2" s="52" t="s">
        <v>53</v>
      </c>
      <c r="AE2" s="53" t="s">
        <v>54</v>
      </c>
      <c r="AF2" s="53" t="s">
        <v>55</v>
      </c>
      <c r="AG2" s="54" t="s">
        <v>73</v>
      </c>
      <c r="AH2" s="55" t="s">
        <v>65</v>
      </c>
      <c r="AI2" s="39"/>
      <c r="AJ2" s="52" t="s">
        <v>53</v>
      </c>
      <c r="AK2" s="53" t="s">
        <v>54</v>
      </c>
      <c r="AL2" s="53" t="s">
        <v>55</v>
      </c>
      <c r="AM2" s="56" t="s">
        <v>74</v>
      </c>
      <c r="AN2" s="6"/>
    </row>
    <row r="3" spans="1:40" ht="50.1" customHeight="1">
      <c r="A3" s="102" t="s">
        <v>86</v>
      </c>
      <c r="B3" s="4">
        <v>36</v>
      </c>
      <c r="C3" s="98" t="s">
        <v>1</v>
      </c>
      <c r="D3" s="108"/>
      <c r="E3" s="99" t="s">
        <v>8</v>
      </c>
      <c r="F3" s="23"/>
      <c r="G3" s="89">
        <v>4.5</v>
      </c>
      <c r="H3" s="90">
        <v>4.3682774345883786</v>
      </c>
      <c r="I3" s="91">
        <v>18</v>
      </c>
      <c r="J3" s="91">
        <v>18</v>
      </c>
      <c r="K3" s="91">
        <v>22.5</v>
      </c>
      <c r="L3" s="91">
        <v>22.5</v>
      </c>
      <c r="M3" s="91">
        <v>113.09733552923255</v>
      </c>
      <c r="N3" s="91">
        <v>113.09733552923255</v>
      </c>
      <c r="O3" s="91">
        <v>141.37166941154069</v>
      </c>
      <c r="P3" s="91">
        <v>141.37166941154069</v>
      </c>
      <c r="Q3" s="92">
        <v>30.566847440333124</v>
      </c>
      <c r="R3" s="92">
        <v>31.415926535897931</v>
      </c>
      <c r="S3" s="93"/>
      <c r="T3" s="91">
        <v>3.5750000000000002</v>
      </c>
      <c r="U3" s="91">
        <v>3.5750000000000002</v>
      </c>
      <c r="V3" s="91">
        <v>4.5</v>
      </c>
      <c r="W3" s="91">
        <v>4.5</v>
      </c>
      <c r="X3" s="91"/>
      <c r="Y3" s="96">
        <v>3.6</v>
      </c>
      <c r="Z3" s="96">
        <v>3.6</v>
      </c>
      <c r="AA3" s="96">
        <v>4.5</v>
      </c>
      <c r="AB3" s="96">
        <v>4.5</v>
      </c>
      <c r="AC3" s="10"/>
      <c r="AD3" s="57">
        <v>45</v>
      </c>
      <c r="AE3" s="58">
        <v>36</v>
      </c>
      <c r="AF3" s="58">
        <v>36</v>
      </c>
      <c r="AG3" s="59">
        <v>30.566847440333124</v>
      </c>
      <c r="AH3" s="60" t="s">
        <v>66</v>
      </c>
      <c r="AJ3" s="61"/>
      <c r="AK3" s="62"/>
      <c r="AL3" s="62"/>
      <c r="AM3" s="63" t="s">
        <v>62</v>
      </c>
    </row>
    <row r="4" spans="1:40" ht="50.1" customHeight="1">
      <c r="A4" s="102" t="s">
        <v>87</v>
      </c>
      <c r="B4" s="8">
        <v>1.125</v>
      </c>
      <c r="C4" s="98" t="s">
        <v>10</v>
      </c>
      <c r="D4" s="108"/>
      <c r="E4" s="99">
        <v>1</v>
      </c>
      <c r="F4" s="23"/>
      <c r="G4" s="89">
        <v>4.5</v>
      </c>
      <c r="H4" s="90">
        <v>12.309262158465796</v>
      </c>
      <c r="I4" s="91">
        <v>17.637435647461004</v>
      </c>
      <c r="J4" s="91">
        <v>18</v>
      </c>
      <c r="K4" s="91">
        <v>22.033985706395828</v>
      </c>
      <c r="L4" s="91">
        <v>22.566956526272076</v>
      </c>
      <c r="M4" s="91">
        <v>110.81927651645245</v>
      </c>
      <c r="N4" s="91">
        <v>113.09733552923255</v>
      </c>
      <c r="O4" s="91">
        <v>138.4436152490313</v>
      </c>
      <c r="P4" s="91">
        <v>141.79236967363317</v>
      </c>
      <c r="Q4" s="92">
        <v>30.657809659163931</v>
      </c>
      <c r="R4" s="92">
        <v>31.509415483029596</v>
      </c>
      <c r="S4" s="93"/>
      <c r="T4" s="91">
        <v>3.5640220399495046</v>
      </c>
      <c r="U4" s="91">
        <v>3.4897160462041503</v>
      </c>
      <c r="V4" s="91">
        <v>4.5</v>
      </c>
      <c r="W4" s="91">
        <v>4.3907699388236985</v>
      </c>
      <c r="X4" s="91"/>
      <c r="Y4" s="96" t="s">
        <v>102</v>
      </c>
      <c r="Z4" s="96">
        <v>3.5170210179283621</v>
      </c>
      <c r="AA4" s="96">
        <v>4.5</v>
      </c>
      <c r="AB4" s="96">
        <v>4.3937221026392743</v>
      </c>
      <c r="AC4" s="10"/>
      <c r="AD4" s="57">
        <v>44.067971412791657</v>
      </c>
      <c r="AE4" s="58">
        <v>35.274871294922008</v>
      </c>
      <c r="AF4" s="58">
        <v>36</v>
      </c>
      <c r="AG4" s="59">
        <v>30.657809659163931</v>
      </c>
      <c r="AH4" s="60" t="s">
        <v>66</v>
      </c>
      <c r="AJ4" s="61"/>
      <c r="AK4" s="62"/>
      <c r="AL4" s="62"/>
      <c r="AM4" s="63">
        <v>25</v>
      </c>
    </row>
    <row r="5" spans="1:40" ht="50.1" customHeight="1">
      <c r="A5" s="102" t="s">
        <v>88</v>
      </c>
      <c r="B5" s="5">
        <v>2.5</v>
      </c>
      <c r="C5" s="98" t="s">
        <v>5</v>
      </c>
      <c r="D5" s="108"/>
      <c r="E5" s="99">
        <v>2</v>
      </c>
      <c r="F5" s="23"/>
      <c r="G5" s="89">
        <v>4.5</v>
      </c>
      <c r="H5" s="90">
        <v>20.250246882343212</v>
      </c>
      <c r="I5" s="91">
        <v>16.936616787611062</v>
      </c>
      <c r="J5" s="91">
        <v>17.637435647461004</v>
      </c>
      <c r="K5" s="91">
        <v>21.158471087980814</v>
      </c>
      <c r="L5" s="91">
        <v>22.023773837121009</v>
      </c>
      <c r="M5" s="91">
        <v>106.41590175324895</v>
      </c>
      <c r="N5" s="91">
        <v>110.81927651645245</v>
      </c>
      <c r="O5" s="91">
        <v>132.94259466238512</v>
      </c>
      <c r="P5" s="91">
        <v>138.3794521820449</v>
      </c>
      <c r="Q5" s="92">
        <v>29.919881552874575</v>
      </c>
      <c r="R5" s="92">
        <v>30.750989373787757</v>
      </c>
      <c r="S5" s="93"/>
      <c r="T5" s="91">
        <v>3.5788674875972362</v>
      </c>
      <c r="U5" s="91">
        <v>3.4316952885555443</v>
      </c>
      <c r="V5" s="91">
        <v>4.5</v>
      </c>
      <c r="W5" s="91">
        <v>4.3182861282371139</v>
      </c>
      <c r="X5" s="91"/>
      <c r="Y5" s="96" t="s">
        <v>104</v>
      </c>
      <c r="Z5" s="96">
        <v>3.460568388864854</v>
      </c>
      <c r="AA5" s="96">
        <v>4.5</v>
      </c>
      <c r="AB5" s="96">
        <v>4.3231973139604349</v>
      </c>
      <c r="AC5" s="10"/>
      <c r="AD5" s="57">
        <v>42.316942175961628</v>
      </c>
      <c r="AE5" s="58">
        <v>33.873233575222123</v>
      </c>
      <c r="AF5" s="58">
        <v>35.274871294922008</v>
      </c>
      <c r="AG5" s="59">
        <v>29.919881552874575</v>
      </c>
      <c r="AH5" s="60" t="s">
        <v>66</v>
      </c>
      <c r="AJ5" s="61">
        <v>42.5</v>
      </c>
      <c r="AK5" s="62">
        <v>34</v>
      </c>
      <c r="AL5" s="62">
        <v>35.25</v>
      </c>
      <c r="AM5" s="64" t="s">
        <v>61</v>
      </c>
    </row>
    <row r="6" spans="1:40" ht="50.1" customHeight="1">
      <c r="A6" s="102" t="s">
        <v>89</v>
      </c>
      <c r="B6" s="4">
        <v>2.5</v>
      </c>
      <c r="C6" s="100" t="s">
        <v>4</v>
      </c>
      <c r="D6" s="108"/>
      <c r="E6" s="99">
        <v>3</v>
      </c>
      <c r="F6" s="23"/>
      <c r="G6" s="89">
        <v>4.5</v>
      </c>
      <c r="H6" s="90">
        <v>28.191231606220629</v>
      </c>
      <c r="I6" s="91">
        <v>15.910983874203829</v>
      </c>
      <c r="J6" s="91">
        <v>16.936616787611062</v>
      </c>
      <c r="K6" s="91">
        <v>19.877174792661528</v>
      </c>
      <c r="L6" s="91">
        <v>21.058214510157772</v>
      </c>
      <c r="M6" s="91">
        <v>99.971660101168823</v>
      </c>
      <c r="N6" s="91">
        <v>106.41590175324895</v>
      </c>
      <c r="O6" s="91">
        <v>124.89197260549135</v>
      </c>
      <c r="P6" s="91">
        <v>132.31266400565929</v>
      </c>
      <c r="Q6" s="92">
        <v>28.608143568791196</v>
      </c>
      <c r="R6" s="92">
        <v>29.40281422347984</v>
      </c>
      <c r="S6" s="93"/>
      <c r="T6" s="91">
        <v>3.5947765558384126</v>
      </c>
      <c r="U6" s="91">
        <v>3.3695175614340993</v>
      </c>
      <c r="V6" s="91">
        <v>4.5</v>
      </c>
      <c r="W6" s="91">
        <v>4.2406091247296729</v>
      </c>
      <c r="X6" s="91"/>
      <c r="Y6" s="96">
        <v>3.6192420543292663</v>
      </c>
      <c r="Z6" s="96">
        <v>3.4000711408547994</v>
      </c>
      <c r="AA6" s="96">
        <v>4.5</v>
      </c>
      <c r="AB6" s="96">
        <v>4.2476196889261679</v>
      </c>
      <c r="AC6" s="10"/>
      <c r="AD6" s="57">
        <v>39.754349585323055</v>
      </c>
      <c r="AE6" s="58">
        <v>31.821967748407658</v>
      </c>
      <c r="AF6" s="58">
        <v>33.873233575222123</v>
      </c>
      <c r="AG6" s="59">
        <v>28.608143568791196</v>
      </c>
      <c r="AH6" s="60" t="s">
        <v>67</v>
      </c>
      <c r="AJ6" s="61" t="s">
        <v>56</v>
      </c>
      <c r="AK6" s="62" t="s">
        <v>75</v>
      </c>
      <c r="AL6" s="62" t="s">
        <v>57</v>
      </c>
      <c r="AM6" s="64" t="s">
        <v>60</v>
      </c>
    </row>
    <row r="7" spans="1:40" ht="50.1" customHeight="1">
      <c r="A7" s="102" t="s">
        <v>90</v>
      </c>
      <c r="B7" s="8">
        <v>4.5</v>
      </c>
      <c r="C7" s="100" t="s">
        <v>16</v>
      </c>
      <c r="D7" s="108"/>
      <c r="E7" s="99">
        <v>4</v>
      </c>
      <c r="F7" s="23"/>
      <c r="G7" s="89">
        <v>4.5</v>
      </c>
      <c r="H7" s="90">
        <v>36.132216330098046</v>
      </c>
      <c r="I7" s="91">
        <v>14.58020671427593</v>
      </c>
      <c r="J7" s="91">
        <v>15.910983874203829</v>
      </c>
      <c r="K7" s="91">
        <v>18.214669794409673</v>
      </c>
      <c r="L7" s="91">
        <v>19.688796248349487</v>
      </c>
      <c r="M7" s="91">
        <v>91.610140602779666</v>
      </c>
      <c r="N7" s="91">
        <v>99.971660101168823</v>
      </c>
      <c r="O7" s="91">
        <v>114.44614562736267</v>
      </c>
      <c r="P7" s="91">
        <v>123.70835530368205</v>
      </c>
      <c r="Q7" s="92">
        <v>26.747752498093416</v>
      </c>
      <c r="R7" s="92">
        <v>27.490745623040457</v>
      </c>
      <c r="S7" s="93"/>
      <c r="T7" s="91">
        <v>3.6125723477437899</v>
      </c>
      <c r="U7" s="91">
        <v>3.299965914773948</v>
      </c>
      <c r="V7" s="91">
        <v>4.5</v>
      </c>
      <c r="W7" s="91">
        <v>4.1537200769679776</v>
      </c>
      <c r="X7" s="91"/>
      <c r="Y7" s="96">
        <v>3.6365568788858491</v>
      </c>
      <c r="Z7" s="96">
        <v>3.332399268428706</v>
      </c>
      <c r="AA7" s="96">
        <v>4.5</v>
      </c>
      <c r="AB7" s="96">
        <v>4.1630789938066801</v>
      </c>
      <c r="AC7" s="10"/>
      <c r="AD7" s="57">
        <v>36.429339588819346</v>
      </c>
      <c r="AE7" s="58">
        <v>29.160413428551859</v>
      </c>
      <c r="AF7" s="58">
        <v>31.821967748407658</v>
      </c>
      <c r="AG7" s="59">
        <v>26.747752498093416</v>
      </c>
      <c r="AH7" s="60" t="s">
        <v>68</v>
      </c>
      <c r="AJ7" s="61">
        <v>36.75</v>
      </c>
      <c r="AK7" s="65" t="s">
        <v>58</v>
      </c>
      <c r="AL7" s="62">
        <v>31.75</v>
      </c>
      <c r="AM7" s="64" t="s">
        <v>59</v>
      </c>
    </row>
    <row r="8" spans="1:40" ht="50.1" customHeight="1">
      <c r="A8" s="102" t="s">
        <v>91</v>
      </c>
      <c r="B8" s="8">
        <v>4.5</v>
      </c>
      <c r="C8" s="100" t="s">
        <v>9</v>
      </c>
      <c r="D8" s="108"/>
      <c r="E8" s="99">
        <v>5</v>
      </c>
      <c r="F8" s="23"/>
      <c r="G8" s="89">
        <v>4.5</v>
      </c>
      <c r="H8" s="90">
        <v>44.073201053975467</v>
      </c>
      <c r="I8" s="91">
        <v>12.969807236387139</v>
      </c>
      <c r="J8" s="91">
        <v>14.58020671427593</v>
      </c>
      <c r="K8" s="91">
        <v>16.20283996910868</v>
      </c>
      <c r="L8" s="91">
        <v>17.941782047559578</v>
      </c>
      <c r="M8" s="91">
        <v>81.49170226461915</v>
      </c>
      <c r="N8" s="91">
        <v>91.610140602779666</v>
      </c>
      <c r="O8" s="91">
        <v>101.8054460284858</v>
      </c>
      <c r="P8" s="91">
        <v>112.7315413458448</v>
      </c>
      <c r="Q8" s="92">
        <v>24.374387318020499</v>
      </c>
      <c r="R8" s="92">
        <v>25.051453632409956</v>
      </c>
      <c r="S8" s="93"/>
      <c r="T8" s="91">
        <v>3.6334592140722388</v>
      </c>
      <c r="U8" s="91">
        <v>3.2183333606039244</v>
      </c>
      <c r="V8" s="91">
        <v>4.5</v>
      </c>
      <c r="W8" s="91">
        <v>4.051738668348758</v>
      </c>
      <c r="X8" s="91"/>
      <c r="Y8" s="96">
        <v>3.6568792353135295</v>
      </c>
      <c r="Z8" s="96">
        <v>3.2529729995065213</v>
      </c>
      <c r="AA8" s="96">
        <v>4.5</v>
      </c>
      <c r="AB8" s="96">
        <v>4.0638538394744677</v>
      </c>
      <c r="AC8" s="10"/>
      <c r="AD8" s="57">
        <v>32.405679938217361</v>
      </c>
      <c r="AE8" s="58">
        <v>25.939614472774277</v>
      </c>
      <c r="AF8" s="58">
        <v>29.160413428551859</v>
      </c>
      <c r="AG8" s="59">
        <v>24.374387318020499</v>
      </c>
      <c r="AH8" s="60" t="s">
        <v>66</v>
      </c>
      <c r="AJ8" s="66">
        <v>32.375</v>
      </c>
      <c r="AK8" s="62" t="s">
        <v>77</v>
      </c>
      <c r="AL8" s="62" t="s">
        <v>78</v>
      </c>
      <c r="AM8" s="63" t="s">
        <v>79</v>
      </c>
    </row>
    <row r="9" spans="1:40" ht="50.1" customHeight="1">
      <c r="A9" s="102" t="s">
        <v>92</v>
      </c>
      <c r="B9" s="8">
        <v>0.125</v>
      </c>
      <c r="C9" s="100" t="s">
        <v>7</v>
      </c>
      <c r="D9" s="108"/>
      <c r="E9" s="99">
        <v>6</v>
      </c>
      <c r="F9" s="23"/>
      <c r="G9" s="89">
        <v>4.5</v>
      </c>
      <c r="H9" s="90">
        <v>52.014185777852887</v>
      </c>
      <c r="I9" s="91">
        <v>11.110670025624254</v>
      </c>
      <c r="J9" s="91">
        <v>12.969807236387139</v>
      </c>
      <c r="K9" s="91">
        <v>13.880268618773238</v>
      </c>
      <c r="L9" s="91">
        <v>15.850676519204633</v>
      </c>
      <c r="M9" s="91">
        <v>69.810398657922946</v>
      </c>
      <c r="N9" s="91">
        <v>81.49170226461915</v>
      </c>
      <c r="O9" s="91">
        <v>87.212299845181903</v>
      </c>
      <c r="P9" s="91">
        <v>99.592737814323016</v>
      </c>
      <c r="Q9" s="92">
        <v>21.533564932826597</v>
      </c>
      <c r="R9" s="92">
        <v>22.131719514294005</v>
      </c>
      <c r="S9" s="93"/>
      <c r="T9" s="91">
        <v>3.6594036748597096</v>
      </c>
      <c r="U9" s="91">
        <v>3.1169341096420724</v>
      </c>
      <c r="V9" s="91">
        <v>4.5</v>
      </c>
      <c r="W9" s="91">
        <v>3.925063243928185</v>
      </c>
      <c r="X9" s="91"/>
      <c r="Y9" s="96">
        <v>3.6821224944580955</v>
      </c>
      <c r="Z9" s="96">
        <v>3.1543142688409347</v>
      </c>
      <c r="AA9" s="96">
        <v>4.5</v>
      </c>
      <c r="AB9" s="96">
        <v>3.940602075173369</v>
      </c>
      <c r="AC9" s="10"/>
      <c r="AD9" s="57">
        <v>27.760537237546476</v>
      </c>
      <c r="AE9" s="58">
        <v>22.221340051248507</v>
      </c>
      <c r="AF9" s="58">
        <v>25.939614472774277</v>
      </c>
      <c r="AG9" s="59">
        <v>21.533564932826597</v>
      </c>
      <c r="AH9" s="60" t="s">
        <v>69</v>
      </c>
      <c r="AJ9" s="61" t="s">
        <v>81</v>
      </c>
      <c r="AK9" s="62" t="s">
        <v>82</v>
      </c>
      <c r="AL9" s="62"/>
      <c r="AM9" s="63" t="s">
        <v>80</v>
      </c>
    </row>
    <row r="10" spans="1:40" ht="50.1" customHeight="1">
      <c r="A10" s="102"/>
      <c r="B10" s="103"/>
      <c r="C10" s="98"/>
      <c r="D10" s="108"/>
      <c r="E10" s="99">
        <v>7</v>
      </c>
      <c r="F10" s="23"/>
      <c r="G10" s="89">
        <v>4.5</v>
      </c>
      <c r="H10" s="90">
        <v>59.955170501730308</v>
      </c>
      <c r="I10" s="91">
        <v>9.0384500124329463</v>
      </c>
      <c r="J10" s="91">
        <v>11.110670025624254</v>
      </c>
      <c r="K10" s="91">
        <v>11.29149851274382</v>
      </c>
      <c r="L10" s="91">
        <v>13.455583331661801</v>
      </c>
      <c r="M10" s="91">
        <v>56.790256317795837</v>
      </c>
      <c r="N10" s="91">
        <v>69.810398657922946</v>
      </c>
      <c r="O10" s="91">
        <v>70.946577551312117</v>
      </c>
      <c r="P10" s="91">
        <v>84.543923489027975</v>
      </c>
      <c r="Q10" s="92">
        <v>18.279767240870914</v>
      </c>
      <c r="R10" s="92">
        <v>18.787538553117329</v>
      </c>
      <c r="S10" s="93"/>
      <c r="T10" s="91">
        <v>3.6939982256358821</v>
      </c>
      <c r="U10" s="91">
        <v>2.9817275403168724</v>
      </c>
      <c r="V10" s="91">
        <v>4.5</v>
      </c>
      <c r="W10" s="91">
        <v>3.7561532234768196</v>
      </c>
      <c r="X10" s="91"/>
      <c r="Y10" s="96">
        <v>3.7157820573754528</v>
      </c>
      <c r="Z10" s="96">
        <v>3.0227619311191192</v>
      </c>
      <c r="AA10" s="96">
        <v>4.5</v>
      </c>
      <c r="AB10" s="96">
        <v>3.7762571904098783</v>
      </c>
      <c r="AC10" s="10"/>
      <c r="AD10" s="57">
        <v>22.582997025487639</v>
      </c>
      <c r="AE10" s="58">
        <v>18.076900024865893</v>
      </c>
      <c r="AF10" s="58">
        <v>22.221340051248507</v>
      </c>
      <c r="AG10" s="59">
        <v>18.279767240870914</v>
      </c>
      <c r="AH10" s="60" t="s">
        <v>70</v>
      </c>
      <c r="AJ10" s="61">
        <v>22.5</v>
      </c>
      <c r="AK10" s="62">
        <v>17.5</v>
      </c>
      <c r="AL10" s="62"/>
      <c r="AM10" s="63"/>
    </row>
    <row r="11" spans="1:40" ht="50.1" customHeight="1">
      <c r="A11" s="102" t="s">
        <v>93</v>
      </c>
      <c r="B11" s="104">
        <v>18.052440970683161</v>
      </c>
      <c r="C11" s="98" t="s">
        <v>15</v>
      </c>
      <c r="D11" s="108"/>
      <c r="E11" s="99">
        <v>8</v>
      </c>
      <c r="F11" s="23"/>
      <c r="G11" s="89">
        <v>3</v>
      </c>
      <c r="H11" s="90">
        <v>67.896155225607728</v>
      </c>
      <c r="I11" s="91">
        <v>6.7928886747475481</v>
      </c>
      <c r="J11" s="91">
        <v>9.0384500124329463</v>
      </c>
      <c r="K11" s="91">
        <v>8.4861776369441753</v>
      </c>
      <c r="L11" s="91">
        <v>10.802436093552503</v>
      </c>
      <c r="M11" s="91">
        <v>42.680978314480406</v>
      </c>
      <c r="N11" s="91">
        <v>56.790256317795837</v>
      </c>
      <c r="O11" s="91">
        <v>53.320226642563625</v>
      </c>
      <c r="P11" s="91">
        <v>67.873707744755535</v>
      </c>
      <c r="Q11" s="92">
        <v>21.719586478321773</v>
      </c>
      <c r="R11" s="92">
        <v>22.624569248251845</v>
      </c>
      <c r="S11" s="93"/>
      <c r="T11" s="91">
        <v>2.4897024656513582</v>
      </c>
      <c r="U11" s="91">
        <v>1.8400916630977349</v>
      </c>
      <c r="V11" s="91">
        <v>3</v>
      </c>
      <c r="W11" s="91">
        <v>2.3299374683437146</v>
      </c>
      <c r="X11" s="91"/>
      <c r="Y11" s="96">
        <v>2.5101143670253041</v>
      </c>
      <c r="Z11" s="96">
        <v>1.8864879965738255</v>
      </c>
      <c r="AA11" s="96">
        <v>3</v>
      </c>
      <c r="AB11" s="96">
        <v>2.3567399696099662</v>
      </c>
      <c r="AC11" s="10"/>
      <c r="AD11" s="57">
        <v>16.972355273888351</v>
      </c>
      <c r="AE11" s="58">
        <v>13.585777349495096</v>
      </c>
      <c r="AF11" s="58">
        <v>18.076900024865893</v>
      </c>
      <c r="AG11" s="59">
        <v>21.719586478321773</v>
      </c>
      <c r="AH11" s="60"/>
      <c r="AJ11" s="66">
        <v>16.875</v>
      </c>
      <c r="AK11" s="62">
        <v>13</v>
      </c>
      <c r="AL11" s="62"/>
      <c r="AM11" s="63"/>
    </row>
    <row r="12" spans="1:40" ht="50.1" customHeight="1">
      <c r="A12" s="102" t="s">
        <v>94</v>
      </c>
      <c r="B12" s="104">
        <v>19.177440970683161</v>
      </c>
      <c r="C12" s="98" t="s">
        <v>6</v>
      </c>
      <c r="D12" s="108"/>
      <c r="E12" s="99">
        <v>9</v>
      </c>
      <c r="F12" s="23"/>
      <c r="G12" s="89">
        <v>2.5</v>
      </c>
      <c r="H12" s="90">
        <v>75.837139949485149</v>
      </c>
      <c r="I12" s="91">
        <v>4.4170518674404908</v>
      </c>
      <c r="J12" s="91">
        <v>6.7928886747475481</v>
      </c>
      <c r="K12" s="91">
        <v>5.5181070342050118</v>
      </c>
      <c r="L12" s="91">
        <v>7.9421174291872276</v>
      </c>
      <c r="M12" s="91">
        <v>27.753155394552245</v>
      </c>
      <c r="N12" s="91">
        <v>42.680978314480406</v>
      </c>
      <c r="O12" s="91">
        <v>34.671289040761252</v>
      </c>
      <c r="P12" s="91">
        <v>49.901795538964095</v>
      </c>
      <c r="Q12" s="92">
        <v>19.010207824367274</v>
      </c>
      <c r="R12" s="92">
        <v>19.960718215585636</v>
      </c>
      <c r="S12" s="93"/>
      <c r="T12" s="91">
        <v>2.1201610581432968</v>
      </c>
      <c r="U12" s="91">
        <v>1.3349080478740618</v>
      </c>
      <c r="V12" s="91">
        <v>2.5</v>
      </c>
      <c r="W12" s="91">
        <v>1.6988248293277264</v>
      </c>
      <c r="X12" s="91"/>
      <c r="Y12" s="96">
        <v>2.5625</v>
      </c>
      <c r="Z12" s="96">
        <v>1.6875</v>
      </c>
      <c r="AA12" s="96">
        <v>3</v>
      </c>
      <c r="AB12" s="96" t="s">
        <v>105</v>
      </c>
      <c r="AC12" s="10"/>
      <c r="AD12" s="57">
        <v>11.036214068410024</v>
      </c>
      <c r="AE12" s="58">
        <v>8.8341037348809817</v>
      </c>
      <c r="AF12" s="58">
        <v>13.585777349495096</v>
      </c>
      <c r="AG12" s="59">
        <v>19.010207824367274</v>
      </c>
      <c r="AH12" s="60" t="s">
        <v>70</v>
      </c>
      <c r="AJ12" s="66">
        <v>10.625</v>
      </c>
      <c r="AK12" s="67">
        <v>8.5</v>
      </c>
      <c r="AL12" s="62"/>
      <c r="AM12" s="63"/>
    </row>
    <row r="13" spans="1:40" ht="50.1" customHeight="1">
      <c r="A13" s="102" t="s">
        <v>95</v>
      </c>
      <c r="B13" s="26">
        <v>18.052440970683161</v>
      </c>
      <c r="C13" s="98" t="s">
        <v>2</v>
      </c>
      <c r="D13" s="108"/>
      <c r="E13" s="99">
        <v>10</v>
      </c>
      <c r="F13" s="23"/>
      <c r="G13" s="89">
        <v>2.5</v>
      </c>
      <c r="H13" s="90">
        <v>83.778124673362569</v>
      </c>
      <c r="I13" s="91">
        <v>1.9565038961608454</v>
      </c>
      <c r="J13" s="91">
        <v>4.4170518674404908</v>
      </c>
      <c r="K13" s="91">
        <v>2.444208996375369</v>
      </c>
      <c r="L13" s="91">
        <v>4.92948314073052</v>
      </c>
      <c r="M13" s="91">
        <v>12.293076533797439</v>
      </c>
      <c r="N13" s="91">
        <v>27.753155394552245</v>
      </c>
      <c r="O13" s="91">
        <v>15.357418053701881</v>
      </c>
      <c r="P13" s="91">
        <v>30.972856041827484</v>
      </c>
      <c r="Q13" s="92">
        <v>11.799183254029519</v>
      </c>
      <c r="R13" s="92">
        <v>12.389142416730994</v>
      </c>
      <c r="S13" s="93"/>
      <c r="T13" s="91">
        <v>2.2271251257009093</v>
      </c>
      <c r="U13" s="91">
        <v>0.9168582599434798</v>
      </c>
      <c r="V13" s="91">
        <v>2.5</v>
      </c>
      <c r="W13" s="91">
        <v>1.1765661951395827</v>
      </c>
      <c r="X13" s="91"/>
      <c r="Y13" s="96" t="s">
        <v>105</v>
      </c>
      <c r="Z13" s="96" t="s">
        <v>106</v>
      </c>
      <c r="AA13" s="96">
        <v>2.5</v>
      </c>
      <c r="AB13" s="96">
        <v>1.2395868525138884</v>
      </c>
      <c r="AC13" s="10"/>
      <c r="AD13" s="57">
        <v>4.8884179927507381</v>
      </c>
      <c r="AE13" s="58">
        <v>3.9130077923216908</v>
      </c>
      <c r="AF13" s="58">
        <v>8.8341037348809817</v>
      </c>
      <c r="AG13" s="59">
        <v>11.799183254029519</v>
      </c>
      <c r="AH13" s="60" t="s">
        <v>71</v>
      </c>
      <c r="AJ13" s="61"/>
      <c r="AK13" s="62"/>
      <c r="AL13" s="62"/>
      <c r="AM13" s="63"/>
    </row>
    <row r="14" spans="1:40" ht="50.1" customHeight="1">
      <c r="A14" s="102" t="s">
        <v>96</v>
      </c>
      <c r="B14" s="105">
        <v>85.631722565411621</v>
      </c>
      <c r="C14" s="98" t="s">
        <v>76</v>
      </c>
      <c r="D14" s="108"/>
      <c r="E14" s="99"/>
      <c r="F14" s="23"/>
      <c r="G14" s="89"/>
      <c r="H14" s="90">
        <v>0</v>
      </c>
      <c r="I14" s="91">
        <v>0</v>
      </c>
      <c r="J14" s="91">
        <v>1.9565038961608454</v>
      </c>
      <c r="K14" s="91">
        <v>0</v>
      </c>
      <c r="L14" s="91">
        <v>0</v>
      </c>
      <c r="M14" s="91">
        <v>0</v>
      </c>
      <c r="N14" s="91">
        <v>12.293076533797439</v>
      </c>
      <c r="O14" s="91">
        <v>0</v>
      </c>
      <c r="P14" s="91">
        <v>0</v>
      </c>
      <c r="Q14" s="92">
        <v>0</v>
      </c>
      <c r="R14" s="92">
        <v>0</v>
      </c>
      <c r="S14" s="93"/>
      <c r="T14" s="91" t="e">
        <v>#DIV/0!</v>
      </c>
      <c r="U14" s="91" t="e">
        <v>#DIV/0!</v>
      </c>
      <c r="V14" s="91" t="e">
        <v>#DIV/0!</v>
      </c>
      <c r="W14" s="91" t="e">
        <v>#DIV/0!</v>
      </c>
      <c r="X14" s="91"/>
      <c r="Y14" s="96"/>
      <c r="Z14" s="96"/>
      <c r="AA14" s="96"/>
      <c r="AB14" s="96"/>
      <c r="AC14" s="10"/>
      <c r="AD14" s="57"/>
      <c r="AE14" s="58"/>
      <c r="AF14" s="58"/>
      <c r="AG14" s="59"/>
      <c r="AH14" s="60" t="s">
        <v>72</v>
      </c>
      <c r="AJ14" s="61"/>
      <c r="AK14" s="62"/>
      <c r="AL14" s="62"/>
      <c r="AM14" s="63"/>
    </row>
    <row r="15" spans="1:40" ht="18.75" customHeight="1">
      <c r="A15" s="102" t="s">
        <v>97</v>
      </c>
      <c r="B15" s="106">
        <v>26.980374993886667</v>
      </c>
      <c r="C15" s="98" t="s">
        <v>3</v>
      </c>
      <c r="D15" s="108"/>
      <c r="E15" s="99"/>
      <c r="F15" s="23"/>
      <c r="G15" s="89"/>
      <c r="H15" s="90"/>
      <c r="I15" s="91"/>
      <c r="J15" s="91"/>
      <c r="K15" s="91"/>
      <c r="L15" s="91"/>
      <c r="M15" s="91"/>
      <c r="N15" s="91"/>
      <c r="O15" s="91"/>
      <c r="P15" s="91"/>
      <c r="Q15" s="92"/>
      <c r="R15" s="92"/>
      <c r="S15" s="93"/>
      <c r="T15" s="91"/>
      <c r="U15" s="91"/>
      <c r="V15" s="91"/>
      <c r="W15" s="91"/>
      <c r="X15" s="91"/>
      <c r="Y15" s="96"/>
      <c r="Z15" s="96"/>
      <c r="AA15" s="96"/>
      <c r="AB15" s="96"/>
      <c r="AC15" s="10"/>
      <c r="AD15" s="57"/>
      <c r="AE15" s="58"/>
      <c r="AF15" s="58"/>
      <c r="AG15" s="59"/>
      <c r="AH15" s="60"/>
      <c r="AJ15" s="61"/>
      <c r="AK15" s="62"/>
      <c r="AL15" s="62"/>
      <c r="AM15" s="63"/>
    </row>
    <row r="16" spans="1:40" ht="18.75" customHeight="1">
      <c r="A16" s="102" t="s">
        <v>98</v>
      </c>
      <c r="B16" s="26">
        <v>10</v>
      </c>
      <c r="C16" s="100" t="s">
        <v>11</v>
      </c>
      <c r="D16" s="108"/>
      <c r="E16" s="99"/>
      <c r="F16" s="23"/>
      <c r="G16" s="89"/>
      <c r="H16" s="90"/>
      <c r="I16" s="91"/>
      <c r="J16" s="91"/>
      <c r="K16" s="91"/>
      <c r="L16" s="91"/>
      <c r="M16" s="91"/>
      <c r="N16" s="91"/>
      <c r="O16" s="91"/>
      <c r="P16" s="91"/>
      <c r="Q16" s="92"/>
      <c r="R16" s="92"/>
      <c r="S16" s="93"/>
      <c r="T16" s="91"/>
      <c r="U16" s="91"/>
      <c r="V16" s="91"/>
      <c r="W16" s="91"/>
      <c r="X16" s="91"/>
      <c r="Y16" s="96"/>
      <c r="Z16" s="96"/>
      <c r="AA16" s="96"/>
      <c r="AB16" s="96"/>
      <c r="AC16" s="10"/>
      <c r="AD16" s="57"/>
      <c r="AE16" s="58"/>
      <c r="AF16" s="58"/>
      <c r="AG16" s="59"/>
      <c r="AH16" s="60"/>
      <c r="AJ16" s="61"/>
      <c r="AK16" s="62"/>
      <c r="AL16" s="62"/>
      <c r="AM16" s="63"/>
    </row>
    <row r="17" spans="1:39" ht="18.75" customHeight="1">
      <c r="A17" s="102" t="s">
        <v>99</v>
      </c>
      <c r="B17" s="106">
        <v>3.9607499877733332</v>
      </c>
      <c r="C17" s="100" t="s">
        <v>18</v>
      </c>
      <c r="D17" s="108"/>
      <c r="E17" s="99"/>
      <c r="F17" s="23"/>
      <c r="G17" s="89"/>
      <c r="H17" s="90"/>
      <c r="I17" s="91"/>
      <c r="J17" s="91"/>
      <c r="K17" s="91"/>
      <c r="L17" s="91"/>
      <c r="M17" s="91"/>
      <c r="N17" s="91"/>
      <c r="O17" s="91"/>
      <c r="P17" s="91"/>
      <c r="Q17" s="92"/>
      <c r="R17" s="92"/>
      <c r="S17" s="93"/>
      <c r="T17" s="91"/>
      <c r="U17" s="91"/>
      <c r="V17" s="91"/>
      <c r="W17" s="91"/>
      <c r="X17" s="91"/>
      <c r="Y17" s="96"/>
      <c r="Z17" s="96"/>
      <c r="AA17" s="96"/>
      <c r="AB17" s="96"/>
      <c r="AC17" s="10"/>
      <c r="AD17" s="57"/>
      <c r="AE17" s="58"/>
      <c r="AF17" s="58"/>
      <c r="AG17" s="59"/>
      <c r="AH17" s="60"/>
      <c r="AJ17" s="61"/>
      <c r="AK17" s="62"/>
      <c r="AL17" s="62"/>
      <c r="AM17" s="63"/>
    </row>
    <row r="18" spans="1:39" ht="18.75" customHeight="1">
      <c r="A18" s="149" t="s">
        <v>19</v>
      </c>
      <c r="B18" s="149"/>
      <c r="C18" s="100"/>
      <c r="D18" s="108"/>
      <c r="E18" s="99"/>
      <c r="F18" s="23"/>
      <c r="G18" s="89"/>
      <c r="H18" s="90"/>
      <c r="I18" s="91"/>
      <c r="J18" s="91"/>
      <c r="K18" s="91"/>
      <c r="L18" s="91"/>
      <c r="M18" s="91"/>
      <c r="N18" s="91"/>
      <c r="O18" s="91"/>
      <c r="P18" s="91"/>
      <c r="Q18" s="92"/>
      <c r="R18" s="92"/>
      <c r="S18" s="93"/>
      <c r="T18" s="91"/>
      <c r="U18" s="91"/>
      <c r="V18" s="91"/>
      <c r="W18" s="91"/>
      <c r="X18" s="91"/>
      <c r="Y18" s="96"/>
      <c r="Z18" s="96"/>
      <c r="AA18" s="96"/>
      <c r="AB18" s="96"/>
      <c r="AC18" s="10"/>
      <c r="AD18" s="57"/>
      <c r="AE18" s="58"/>
      <c r="AF18" s="58"/>
      <c r="AG18" s="59"/>
      <c r="AH18" s="60"/>
      <c r="AJ18" s="61"/>
      <c r="AK18" s="62"/>
      <c r="AL18" s="62"/>
      <c r="AM18" s="63"/>
    </row>
    <row r="19" spans="1:39" ht="18.75" customHeight="1">
      <c r="A19" s="102" t="s">
        <v>100</v>
      </c>
      <c r="B19" s="107">
        <v>135.75751640981264</v>
      </c>
      <c r="C19" s="100" t="s">
        <v>110</v>
      </c>
      <c r="D19" s="62"/>
      <c r="E19" s="99"/>
      <c r="F19" s="23"/>
      <c r="G19" s="89"/>
      <c r="H19" s="90"/>
      <c r="I19" s="91"/>
      <c r="J19" s="91"/>
      <c r="K19" s="91"/>
      <c r="L19" s="91"/>
      <c r="M19" s="91"/>
      <c r="N19" s="91"/>
      <c r="O19" s="91"/>
      <c r="P19" s="91"/>
      <c r="Q19" s="92"/>
      <c r="R19" s="92"/>
      <c r="S19" s="93"/>
      <c r="T19" s="91"/>
      <c r="U19" s="91"/>
      <c r="V19" s="91"/>
      <c r="W19" s="91"/>
      <c r="X19" s="91"/>
      <c r="Y19" s="96"/>
      <c r="Z19" s="96"/>
      <c r="AA19" s="96"/>
      <c r="AB19" s="96"/>
      <c r="AC19" s="10"/>
      <c r="AD19" s="57"/>
      <c r="AE19" s="58"/>
      <c r="AF19" s="58"/>
      <c r="AG19" s="59"/>
      <c r="AH19" s="60"/>
      <c r="AJ19" s="61"/>
      <c r="AK19" s="62"/>
      <c r="AL19" s="62"/>
      <c r="AM19" s="63"/>
    </row>
    <row r="20" spans="1:39" ht="18.75" customHeight="1">
      <c r="A20" s="110"/>
      <c r="B20" s="28"/>
      <c r="C20" s="111"/>
      <c r="D20" s="108"/>
      <c r="E20" s="99"/>
      <c r="F20" s="23"/>
      <c r="G20" s="89"/>
      <c r="H20" s="90"/>
      <c r="I20" s="91"/>
      <c r="J20" s="91"/>
      <c r="K20" s="91"/>
      <c r="L20" s="91"/>
      <c r="M20" s="91"/>
      <c r="N20" s="91"/>
      <c r="O20" s="91"/>
      <c r="P20" s="91"/>
      <c r="Q20" s="92"/>
      <c r="R20" s="92"/>
      <c r="S20" s="93"/>
      <c r="T20" s="91"/>
      <c r="U20" s="91"/>
      <c r="V20" s="91"/>
      <c r="W20" s="91"/>
      <c r="X20" s="91"/>
      <c r="Y20" s="96"/>
      <c r="Z20" s="96"/>
      <c r="AA20" s="96"/>
      <c r="AB20" s="96"/>
      <c r="AC20" s="10"/>
      <c r="AD20" s="57"/>
      <c r="AE20" s="58"/>
      <c r="AF20" s="58"/>
      <c r="AG20" s="59"/>
      <c r="AH20" s="60"/>
      <c r="AJ20" s="61"/>
      <c r="AK20" s="62"/>
      <c r="AL20" s="62"/>
      <c r="AM20" s="63"/>
    </row>
    <row r="21" spans="1:39" ht="18.75" customHeight="1">
      <c r="A21" s="110"/>
      <c r="B21" s="28"/>
      <c r="C21" s="111"/>
      <c r="D21" s="108"/>
      <c r="E21" s="99"/>
      <c r="F21" s="23"/>
      <c r="G21" s="89"/>
      <c r="H21" s="90"/>
      <c r="I21" s="91"/>
      <c r="J21" s="91"/>
      <c r="K21" s="91"/>
      <c r="L21" s="91"/>
      <c r="M21" s="91"/>
      <c r="N21" s="91"/>
      <c r="O21" s="91"/>
      <c r="P21" s="91"/>
      <c r="Q21" s="92"/>
      <c r="R21" s="92"/>
      <c r="S21" s="93"/>
      <c r="T21" s="91"/>
      <c r="U21" s="91"/>
      <c r="V21" s="91"/>
      <c r="W21" s="91"/>
      <c r="X21" s="91"/>
      <c r="Y21" s="96"/>
      <c r="Z21" s="96"/>
      <c r="AA21" s="96"/>
      <c r="AB21" s="96"/>
      <c r="AC21" s="10"/>
      <c r="AD21" s="57"/>
      <c r="AE21" s="58"/>
      <c r="AF21" s="58"/>
      <c r="AG21" s="59"/>
      <c r="AH21" s="60"/>
      <c r="AJ21" s="61"/>
      <c r="AK21" s="62"/>
      <c r="AL21" s="62"/>
      <c r="AM21" s="63"/>
    </row>
    <row r="22" spans="1:39" ht="19.5" customHeight="1" thickBot="1">
      <c r="A22" s="110"/>
      <c r="B22" s="28"/>
      <c r="C22" s="111"/>
      <c r="D22" s="108"/>
      <c r="E22" s="99"/>
      <c r="F22" s="23"/>
      <c r="G22" s="89"/>
      <c r="H22" s="90"/>
      <c r="I22" s="91"/>
      <c r="J22" s="91"/>
      <c r="K22" s="91"/>
      <c r="L22" s="91"/>
      <c r="M22" s="91"/>
      <c r="N22" s="91"/>
      <c r="O22" s="91"/>
      <c r="P22" s="91"/>
      <c r="Q22" s="92"/>
      <c r="R22" s="92"/>
      <c r="S22" s="93"/>
      <c r="T22" s="91"/>
      <c r="U22" s="91"/>
      <c r="V22" s="91"/>
      <c r="W22" s="91"/>
      <c r="X22" s="91"/>
      <c r="Y22" s="96"/>
      <c r="Z22" s="96"/>
      <c r="AA22" s="96"/>
      <c r="AB22" s="96"/>
      <c r="AC22" s="10"/>
      <c r="AD22" s="68"/>
      <c r="AE22" s="69"/>
      <c r="AF22" s="69"/>
      <c r="AG22" s="70"/>
      <c r="AH22" s="71"/>
      <c r="AJ22" s="72"/>
      <c r="AK22" s="73"/>
      <c r="AL22" s="73"/>
      <c r="AM22" s="74"/>
    </row>
    <row r="23" spans="1:39" ht="15" customHeight="1">
      <c r="A23" s="3"/>
      <c r="B23" s="2"/>
      <c r="C23" s="1"/>
      <c r="E23" s="30"/>
      <c r="F23" s="9"/>
      <c r="G23" s="94"/>
      <c r="Q23" s="93"/>
      <c r="R23" s="93"/>
      <c r="S23" s="93"/>
      <c r="Y23" s="11"/>
      <c r="Z23" s="11"/>
      <c r="AA23" s="11"/>
      <c r="AB23" s="11"/>
      <c r="AC23" s="10"/>
      <c r="AD23" s="10"/>
      <c r="AE23" s="10"/>
      <c r="AF23" s="10"/>
      <c r="AG23" s="10"/>
      <c r="AH23" s="10"/>
      <c r="AJ23" s="10"/>
      <c r="AM23" s="46"/>
    </row>
    <row r="24" spans="1:39">
      <c r="A24" s="3"/>
      <c r="B24" s="2"/>
      <c r="C24" s="1"/>
      <c r="E24" s="30"/>
      <c r="F24" s="9"/>
      <c r="Q24" s="93"/>
      <c r="R24" s="93"/>
      <c r="S24" s="93"/>
      <c r="Y24" s="10"/>
      <c r="Z24" s="10"/>
      <c r="AA24" s="10"/>
      <c r="AB24" s="10"/>
      <c r="AC24" s="10"/>
      <c r="AD24" s="10"/>
      <c r="AE24" s="10"/>
      <c r="AF24" s="10"/>
      <c r="AG24" s="10"/>
      <c r="AH24" s="10"/>
      <c r="AJ24" s="10"/>
      <c r="AM24" s="46"/>
    </row>
    <row r="25" spans="1:39">
      <c r="A25" s="3"/>
      <c r="B25" s="2"/>
      <c r="C25" s="1"/>
      <c r="E25" s="30"/>
      <c r="F25" s="9"/>
      <c r="Q25" s="93"/>
      <c r="R25" s="93"/>
      <c r="S25" s="93"/>
      <c r="Y25" s="40"/>
      <c r="Z25" s="10"/>
      <c r="AA25" s="10"/>
      <c r="AB25" s="10"/>
      <c r="AC25" s="10"/>
      <c r="AD25" s="10"/>
      <c r="AE25" s="10"/>
      <c r="AF25" s="10"/>
      <c r="AG25" s="10"/>
      <c r="AH25" s="10"/>
      <c r="AJ25" s="10"/>
      <c r="AM25" s="46"/>
    </row>
    <row r="26" spans="1:39">
      <c r="A26" s="3"/>
      <c r="B26" s="2"/>
      <c r="C26" s="1"/>
      <c r="E26" s="30"/>
      <c r="F26" s="9"/>
      <c r="Q26" s="93"/>
      <c r="R26" s="93"/>
      <c r="S26" s="93"/>
      <c r="Y26" s="10"/>
      <c r="Z26" s="10"/>
      <c r="AA26" s="10"/>
      <c r="AB26" s="10"/>
      <c r="AC26" s="10"/>
      <c r="AD26" s="10"/>
      <c r="AE26" s="10"/>
      <c r="AF26" s="10"/>
      <c r="AG26" s="10"/>
      <c r="AH26" s="10"/>
      <c r="AJ26" s="10"/>
      <c r="AM26" s="46"/>
    </row>
    <row r="27" spans="1:39">
      <c r="A27" s="3"/>
      <c r="B27" s="2"/>
      <c r="C27" s="1"/>
      <c r="E27" s="30"/>
      <c r="F27" s="9"/>
      <c r="Q27" s="93"/>
      <c r="R27" s="93"/>
      <c r="S27" s="93"/>
      <c r="Y27" s="10"/>
      <c r="Z27" s="10"/>
      <c r="AA27" s="10"/>
      <c r="AB27" s="10"/>
      <c r="AC27" s="10"/>
      <c r="AD27" s="10"/>
      <c r="AE27" s="10"/>
      <c r="AF27" s="10"/>
      <c r="AG27" s="10"/>
      <c r="AH27" s="10"/>
      <c r="AJ27" s="10"/>
      <c r="AM27" s="46"/>
    </row>
    <row r="28" spans="1:39">
      <c r="A28" s="3"/>
      <c r="B28" s="2"/>
      <c r="C28" s="1"/>
      <c r="E28" s="30"/>
      <c r="F28" s="9"/>
      <c r="Q28" s="93"/>
      <c r="R28" s="93"/>
      <c r="S28" s="93"/>
      <c r="Y28" s="10"/>
      <c r="Z28" s="10"/>
      <c r="AA28" s="10"/>
      <c r="AB28" s="10"/>
      <c r="AC28" s="10"/>
      <c r="AD28" s="10"/>
      <c r="AE28" s="10"/>
      <c r="AF28" s="10"/>
      <c r="AG28" s="10"/>
      <c r="AH28" s="10"/>
      <c r="AJ28" s="10"/>
      <c r="AM28" s="46"/>
    </row>
    <row r="29" spans="1:39">
      <c r="A29" s="3"/>
      <c r="B29" s="2"/>
      <c r="C29" s="1"/>
      <c r="E29" s="30"/>
      <c r="F29" s="9"/>
      <c r="Q29" s="93"/>
      <c r="R29" s="93"/>
      <c r="S29" s="93"/>
      <c r="Y29" s="10"/>
      <c r="Z29" s="10"/>
      <c r="AA29" s="10"/>
      <c r="AB29" s="10"/>
      <c r="AC29" s="10"/>
      <c r="AD29" s="10"/>
      <c r="AE29" s="10"/>
      <c r="AF29" s="10"/>
      <c r="AG29" s="10"/>
      <c r="AH29" s="10"/>
      <c r="AJ29" s="10"/>
      <c r="AM29" s="46"/>
    </row>
    <row r="30" spans="1:39">
      <c r="A30" s="3"/>
      <c r="B30" s="2"/>
      <c r="C30" s="1"/>
      <c r="E30" s="30"/>
      <c r="F30" s="9"/>
      <c r="Q30" s="93"/>
      <c r="R30" s="93"/>
      <c r="S30" s="93"/>
      <c r="Y30" s="10"/>
      <c r="Z30" s="10"/>
      <c r="AA30" s="10"/>
      <c r="AB30" s="10"/>
      <c r="AC30" s="10"/>
      <c r="AD30" s="10"/>
      <c r="AE30" s="10"/>
      <c r="AF30" s="10"/>
      <c r="AG30" s="10"/>
      <c r="AH30" s="10"/>
      <c r="AJ30" s="10"/>
      <c r="AM30" s="46"/>
    </row>
    <row r="31" spans="1:39">
      <c r="A31" s="3"/>
      <c r="B31" s="2"/>
      <c r="C31" s="1"/>
      <c r="E31" s="30"/>
      <c r="F31" s="9"/>
      <c r="Q31" s="93"/>
      <c r="R31" s="93"/>
      <c r="S31" s="93"/>
      <c r="Y31" s="10"/>
      <c r="Z31" s="10"/>
      <c r="AA31" s="10"/>
      <c r="AB31" s="10"/>
      <c r="AC31" s="10"/>
      <c r="AD31" s="10"/>
      <c r="AE31" s="10"/>
      <c r="AF31" s="10"/>
      <c r="AG31" s="10"/>
      <c r="AH31" s="10"/>
      <c r="AJ31" s="10"/>
      <c r="AM31" s="46"/>
    </row>
    <row r="32" spans="1:39">
      <c r="A32" s="3"/>
      <c r="B32" s="2"/>
      <c r="C32" s="1"/>
      <c r="E32" s="30"/>
      <c r="F32" s="9"/>
      <c r="Q32" s="93"/>
      <c r="R32" s="93"/>
      <c r="S32" s="93"/>
      <c r="Y32" s="10"/>
      <c r="Z32" s="10"/>
      <c r="AA32" s="10"/>
      <c r="AB32" s="10"/>
      <c r="AC32" s="10"/>
      <c r="AD32" s="10"/>
      <c r="AE32" s="10"/>
      <c r="AF32" s="10"/>
      <c r="AG32" s="10"/>
      <c r="AH32" s="10"/>
      <c r="AJ32" s="10"/>
      <c r="AM32" s="46"/>
    </row>
    <row r="33" spans="1:39">
      <c r="A33" s="3"/>
      <c r="B33" s="2"/>
      <c r="C33" s="1"/>
      <c r="E33" s="30"/>
      <c r="F33" s="9"/>
      <c r="Q33" s="93"/>
      <c r="R33" s="93"/>
      <c r="S33" s="93"/>
      <c r="Y33" s="10"/>
      <c r="Z33" s="10"/>
      <c r="AA33" s="10"/>
      <c r="AB33" s="10"/>
      <c r="AC33" s="10"/>
      <c r="AD33" s="10"/>
      <c r="AE33" s="10"/>
      <c r="AF33" s="10"/>
      <c r="AG33" s="10"/>
      <c r="AH33" s="10"/>
      <c r="AJ33" s="10"/>
      <c r="AM33" s="46"/>
    </row>
    <row r="34" spans="1:39">
      <c r="A34" s="3"/>
      <c r="B34" s="2"/>
      <c r="C34" s="1"/>
      <c r="E34" s="30"/>
      <c r="F34" s="9"/>
      <c r="Q34" s="93"/>
      <c r="R34" s="93"/>
      <c r="S34" s="93"/>
      <c r="Y34" s="10"/>
      <c r="Z34" s="10"/>
      <c r="AA34" s="10"/>
      <c r="AB34" s="10"/>
      <c r="AC34" s="10"/>
      <c r="AD34" s="10"/>
      <c r="AE34" s="10"/>
      <c r="AF34" s="10"/>
      <c r="AG34" s="10"/>
      <c r="AH34" s="10"/>
      <c r="AJ34" s="10"/>
      <c r="AM34" s="46"/>
    </row>
    <row r="35" spans="1:39">
      <c r="A35" s="3"/>
      <c r="B35" s="2"/>
      <c r="C35" s="1"/>
      <c r="E35" s="30"/>
      <c r="F35" s="9"/>
      <c r="Q35" s="93"/>
      <c r="R35" s="93"/>
      <c r="S35" s="93"/>
      <c r="Y35" s="10"/>
      <c r="Z35" s="10"/>
      <c r="AA35" s="10"/>
      <c r="AB35" s="10"/>
      <c r="AC35" s="10"/>
      <c r="AD35" s="10"/>
      <c r="AE35" s="10"/>
      <c r="AF35" s="10"/>
      <c r="AG35" s="10"/>
      <c r="AH35" s="10"/>
      <c r="AJ35" s="10"/>
      <c r="AM35" s="46"/>
    </row>
    <row r="36" spans="1:39">
      <c r="A36" s="3"/>
      <c r="B36" s="2"/>
      <c r="C36" s="1"/>
      <c r="E36" s="30"/>
      <c r="F36" s="9"/>
      <c r="Q36" s="93"/>
      <c r="R36" s="93"/>
      <c r="S36" s="93"/>
      <c r="Y36" s="10"/>
      <c r="Z36" s="10"/>
      <c r="AA36" s="10"/>
      <c r="AB36" s="10"/>
      <c r="AC36" s="10"/>
      <c r="AD36" s="10"/>
      <c r="AE36" s="10"/>
      <c r="AF36" s="10"/>
      <c r="AG36" s="10"/>
      <c r="AH36" s="10"/>
      <c r="AJ36" s="10"/>
      <c r="AM36" s="46"/>
    </row>
    <row r="37" spans="1:39">
      <c r="A37" s="3"/>
      <c r="B37" s="2"/>
      <c r="C37" s="1"/>
      <c r="E37" s="30"/>
      <c r="F37" s="9"/>
      <c r="Q37" s="93"/>
      <c r="R37" s="93"/>
      <c r="S37" s="93"/>
      <c r="Y37" s="10"/>
      <c r="Z37" s="10"/>
      <c r="AA37" s="10"/>
      <c r="AB37" s="10"/>
      <c r="AC37" s="10"/>
      <c r="AD37" s="10"/>
      <c r="AE37" s="10"/>
      <c r="AF37" s="10"/>
      <c r="AG37" s="10"/>
      <c r="AH37" s="10"/>
      <c r="AJ37" s="10"/>
      <c r="AM37" s="46"/>
    </row>
    <row r="38" spans="1:39">
      <c r="A38" s="3"/>
      <c r="B38" s="2"/>
      <c r="C38" s="1"/>
      <c r="E38" s="30"/>
      <c r="F38" s="9"/>
      <c r="Q38" s="93"/>
      <c r="R38" s="93"/>
      <c r="S38" s="93"/>
      <c r="Y38" s="10"/>
      <c r="Z38" s="10"/>
      <c r="AA38" s="10"/>
      <c r="AB38" s="10"/>
      <c r="AC38" s="10"/>
      <c r="AD38" s="10"/>
      <c r="AE38" s="10"/>
      <c r="AF38" s="10"/>
      <c r="AG38" s="10"/>
      <c r="AH38" s="10"/>
      <c r="AJ38" s="10"/>
      <c r="AM38" s="46"/>
    </row>
    <row r="39" spans="1:39">
      <c r="A39" s="3"/>
      <c r="B39" s="2"/>
      <c r="C39" s="1"/>
      <c r="E39" s="30"/>
      <c r="F39" s="9"/>
      <c r="Q39" s="93"/>
      <c r="R39" s="93"/>
      <c r="S39" s="93"/>
      <c r="Y39" s="10"/>
      <c r="Z39" s="10"/>
      <c r="AA39" s="10"/>
      <c r="AB39" s="10"/>
      <c r="AC39" s="10"/>
      <c r="AD39" s="10"/>
      <c r="AE39" s="10"/>
      <c r="AF39" s="10"/>
      <c r="AG39" s="10"/>
      <c r="AH39" s="10"/>
      <c r="AJ39" s="10"/>
      <c r="AM39" s="46"/>
    </row>
  </sheetData>
  <sheetProtection password="CD86" sheet="1" selectLockedCells="1" selectUnlockedCells="1"/>
  <mergeCells count="6">
    <mergeCell ref="AJ1:AL1"/>
    <mergeCell ref="A18:B18"/>
    <mergeCell ref="Y1:AB1"/>
    <mergeCell ref="B1:B2"/>
    <mergeCell ref="E1:E2"/>
    <mergeCell ref="T1:V1"/>
  </mergeCells>
  <phoneticPr fontId="9"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Notes for using spreadsheet</vt:lpstr>
      <vt:lpstr>Calculations</vt:lpstr>
      <vt:lpstr>Our oven</vt:lpstr>
      <vt:lpstr>Brick</vt:lpstr>
      <vt:lpstr>Brick_Depth</vt:lpstr>
      <vt:lpstr>Brick_height</vt:lpstr>
      <vt:lpstr>Brick_Width</vt:lpstr>
      <vt:lpstr>Courses</vt:lpstr>
      <vt:lpstr>Diameter</vt:lpstr>
      <vt:lpstr>Dome_arc</vt:lpstr>
      <vt:lpstr>Dome_height</vt:lpstr>
      <vt:lpstr>Dome_radius</vt:lpstr>
      <vt:lpstr>Inner_arc</vt:lpstr>
      <vt:lpstr>Inner_arc_angle</vt:lpstr>
      <vt:lpstr>IT</vt:lpstr>
      <vt:lpstr>Joint</vt:lpstr>
      <vt:lpstr>Optimize_cut</vt:lpstr>
      <vt:lpstr>pivot</vt:lpstr>
      <vt:lpstr>Calculations!Print_Area</vt:lpstr>
      <vt:lpstr>Soldier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 Oldroyd</dc:creator>
  <cp:lastModifiedBy>Karen</cp:lastModifiedBy>
  <cp:lastPrinted>2014-06-03T16:26:36Z</cp:lastPrinted>
  <dcterms:created xsi:type="dcterms:W3CDTF">2012-06-12T18:29:50Z</dcterms:created>
  <dcterms:modified xsi:type="dcterms:W3CDTF">2015-03-22T18:23:37Z</dcterms:modified>
</cp:coreProperties>
</file>