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-doldro\Desktop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definedNames>
    <definedName name="Brick">Sheet1!$B$6</definedName>
    <definedName name="Brick_Depth">Sheet1!$B$8</definedName>
    <definedName name="Brick_height">Sheet1!$B$6</definedName>
    <definedName name="Brick_Width">Sheet1!$B$7</definedName>
    <definedName name="Courses">Sheet1!$B$17</definedName>
    <definedName name="Diameter">Sheet1!$B$3</definedName>
    <definedName name="Dome_arc">Sheet1!$B$16</definedName>
    <definedName name="Dome_height">Sheet1!$B$12</definedName>
    <definedName name="Dome_radius">Sheet1!$B$14</definedName>
    <definedName name="Inner_arc">Sheet1!$B$15</definedName>
    <definedName name="Inner_arc_angle">Sheet1!$B$15</definedName>
    <definedName name="IT">Sheet1!$B$11</definedName>
    <definedName name="Joint">Sheet1!$B$9</definedName>
    <definedName name="Optimize_cut">Sheet1!$B$10</definedName>
    <definedName name="Optimize_joint">Sheet1!#REF!</definedName>
    <definedName name="pivot">Sheet1!$B$4</definedName>
    <definedName name="Soldier">Sheet1!$B$5</definedName>
  </definedNames>
  <calcPr calcId="152511"/>
</workbook>
</file>

<file path=xl/calcChain.xml><?xml version="1.0" encoding="utf-8"?>
<calcChain xmlns="http://schemas.openxmlformats.org/spreadsheetml/2006/main">
  <c r="C23" i="1" l="1"/>
  <c r="C21" i="1"/>
  <c r="B23" i="1"/>
  <c r="B21" i="1" l="1"/>
  <c r="S3" i="1" l="1"/>
  <c r="K3" i="1"/>
  <c r="J3" i="1"/>
  <c r="S4" i="1" l="1"/>
  <c r="S5" i="1" s="1"/>
  <c r="I3" i="1" l="1"/>
  <c r="F4" i="1" l="1"/>
  <c r="F3" i="1"/>
  <c r="B11" i="1"/>
  <c r="H3" i="1"/>
  <c r="Q3" i="1" l="1"/>
  <c r="Q4" i="1"/>
  <c r="O4" i="1" s="1"/>
  <c r="B12" i="1"/>
  <c r="B14" i="1" l="1"/>
  <c r="B15" i="1" s="1"/>
  <c r="B16" i="1" s="1"/>
  <c r="N4" i="1" s="1"/>
  <c r="B13" i="1"/>
  <c r="O3" i="1"/>
  <c r="K4" i="1" l="1"/>
  <c r="H4" i="1"/>
  <c r="J4" i="1"/>
  <c r="I4" i="1"/>
  <c r="N5" i="1"/>
  <c r="B17" i="1"/>
  <c r="E6" i="1" s="1"/>
  <c r="K5" i="1" l="1"/>
  <c r="H5" i="1"/>
  <c r="J5" i="1"/>
  <c r="I5" i="1"/>
  <c r="M4" i="1" s="1"/>
  <c r="S6" i="1"/>
  <c r="E7" i="1"/>
  <c r="N6" i="1"/>
  <c r="J6" i="1" s="1"/>
  <c r="B18" i="1"/>
  <c r="K6" i="1" l="1"/>
  <c r="I6" i="1"/>
  <c r="H6" i="1"/>
  <c r="F5" i="1"/>
  <c r="E8" i="1"/>
  <c r="N7" i="1"/>
  <c r="K7" i="1" s="1"/>
  <c r="M5" i="1" l="1"/>
  <c r="Q5" i="1"/>
  <c r="O5" i="1" s="1"/>
  <c r="I7" i="1"/>
  <c r="M6" i="1" s="1"/>
  <c r="H7" i="1"/>
  <c r="J7" i="1"/>
  <c r="F6" i="1"/>
  <c r="Q6" i="1" s="1"/>
  <c r="O6" i="1" s="1"/>
  <c r="E9" i="1"/>
  <c r="N8" i="1"/>
  <c r="I8" i="1" s="1"/>
  <c r="E10" i="1" l="1"/>
  <c r="E11" i="1" s="1"/>
  <c r="K8" i="1"/>
  <c r="J8" i="1"/>
  <c r="H8" i="1"/>
  <c r="F7" i="1"/>
  <c r="Q7" i="1" s="1"/>
  <c r="O7" i="1" s="1"/>
  <c r="N9" i="1"/>
  <c r="H9" i="1" s="1"/>
  <c r="S9" i="1"/>
  <c r="M7" i="1" l="1"/>
  <c r="J9" i="1"/>
  <c r="K9" i="1"/>
  <c r="I9" i="1"/>
  <c r="F8" i="1"/>
  <c r="E12" i="1"/>
  <c r="N10" i="1"/>
  <c r="S10" i="1"/>
  <c r="M8" i="1" l="1"/>
  <c r="E13" i="1"/>
  <c r="S11" i="1"/>
  <c r="S12" i="1" s="1"/>
  <c r="Q8" i="1"/>
  <c r="O8" i="1" s="1"/>
  <c r="N11" i="1"/>
  <c r="N12" i="1" s="1"/>
  <c r="H12" i="1" s="1"/>
  <c r="I10" i="1"/>
  <c r="H10" i="1"/>
  <c r="J10" i="1"/>
  <c r="K10" i="1"/>
  <c r="F9" i="1"/>
  <c r="M9" i="1" s="1"/>
  <c r="E14" i="1" l="1"/>
  <c r="Q9" i="1"/>
  <c r="O9" i="1" s="1"/>
  <c r="I12" i="1"/>
  <c r="N13" i="1"/>
  <c r="I13" i="1" s="1"/>
  <c r="K12" i="1"/>
  <c r="J12" i="1"/>
  <c r="H11" i="1"/>
  <c r="I11" i="1"/>
  <c r="K11" i="1"/>
  <c r="J11" i="1"/>
  <c r="F10" i="1"/>
  <c r="Q10" i="1" s="1"/>
  <c r="O10" i="1" s="1"/>
  <c r="F11" i="1"/>
  <c r="S13" i="1"/>
  <c r="F12" i="1" l="1"/>
  <c r="M12" i="1" s="1"/>
  <c r="M11" i="1"/>
  <c r="E15" i="1"/>
  <c r="M15" i="1" s="1"/>
  <c r="M10" i="1"/>
  <c r="N14" i="1"/>
  <c r="J14" i="1" s="1"/>
  <c r="Q11" i="1"/>
  <c r="O11" i="1" s="1"/>
  <c r="H13" i="1"/>
  <c r="K13" i="1"/>
  <c r="J13" i="1"/>
  <c r="S14" i="1"/>
  <c r="Q12" i="1" l="1"/>
  <c r="O12" i="1" s="1"/>
  <c r="S15" i="1"/>
  <c r="E16" i="1"/>
  <c r="M16" i="1" s="1"/>
  <c r="N15" i="1"/>
  <c r="H15" i="1" s="1"/>
  <c r="K14" i="1"/>
  <c r="I14" i="1"/>
  <c r="H14" i="1"/>
  <c r="J15" i="1"/>
  <c r="K15" i="1"/>
  <c r="I15" i="1"/>
  <c r="F13" i="1"/>
  <c r="Q13" i="1" s="1"/>
  <c r="O13" i="1" s="1"/>
  <c r="E17" i="1"/>
  <c r="M17" i="1" s="1"/>
  <c r="N16" i="1" l="1"/>
  <c r="J16" i="1" s="1"/>
  <c r="S16" i="1"/>
  <c r="M13" i="1"/>
  <c r="O17" i="1"/>
  <c r="Q17" i="1"/>
  <c r="K16" i="1"/>
  <c r="I16" i="1"/>
  <c r="H16" i="1"/>
  <c r="K17" i="1"/>
  <c r="H17" i="1"/>
  <c r="J17" i="1"/>
  <c r="I17" i="1"/>
  <c r="F14" i="1"/>
  <c r="M14" i="1" s="1"/>
  <c r="S17" i="1"/>
  <c r="N17" i="1"/>
  <c r="E18" i="1"/>
  <c r="M18" i="1" s="1"/>
  <c r="O18" i="1" l="1"/>
  <c r="Q18" i="1"/>
  <c r="Q14" i="1"/>
  <c r="O14" i="1" s="1"/>
  <c r="J18" i="1"/>
  <c r="I18" i="1"/>
  <c r="K18" i="1"/>
  <c r="H18" i="1"/>
  <c r="F15" i="1"/>
  <c r="Q15" i="1" s="1"/>
  <c r="O15" i="1" s="1"/>
  <c r="S18" i="1"/>
  <c r="N18" i="1"/>
  <c r="E19" i="1"/>
  <c r="M19" i="1" s="1"/>
  <c r="O19" i="1" l="1"/>
  <c r="Q19" i="1"/>
  <c r="K19" i="1"/>
  <c r="H19" i="1"/>
  <c r="J19" i="1"/>
  <c r="I19" i="1"/>
  <c r="F16" i="1"/>
  <c r="Q16" i="1" s="1"/>
  <c r="O16" i="1" s="1"/>
  <c r="S19" i="1"/>
  <c r="E20" i="1"/>
  <c r="M20" i="1" s="1"/>
  <c r="N19" i="1"/>
  <c r="Q20" i="1" l="1"/>
  <c r="O20" i="1"/>
  <c r="J20" i="1"/>
  <c r="I20" i="1"/>
  <c r="H20" i="1"/>
  <c r="K20" i="1"/>
  <c r="F17" i="1"/>
  <c r="S20" i="1"/>
  <c r="N20" i="1"/>
  <c r="E21" i="1"/>
  <c r="M21" i="1" s="1"/>
  <c r="O21" i="1" l="1"/>
  <c r="Q21" i="1"/>
  <c r="K21" i="1"/>
  <c r="H21" i="1"/>
  <c r="J21" i="1"/>
  <c r="I21" i="1"/>
  <c r="F18" i="1"/>
  <c r="S21" i="1"/>
  <c r="N21" i="1"/>
  <c r="E22" i="1"/>
  <c r="M22" i="1" s="1"/>
  <c r="O22" i="1" l="1"/>
  <c r="Q22" i="1"/>
  <c r="J22" i="1"/>
  <c r="I22" i="1"/>
  <c r="K22" i="1"/>
  <c r="H22" i="1"/>
  <c r="F19" i="1"/>
  <c r="S22" i="1"/>
  <c r="N22" i="1"/>
  <c r="F20" i="1" l="1"/>
  <c r="F21" i="1"/>
  <c r="F22" i="1" l="1"/>
  <c r="B20" i="1" s="1"/>
</calcChain>
</file>

<file path=xl/sharedStrings.xml><?xml version="1.0" encoding="utf-8"?>
<sst xmlns="http://schemas.openxmlformats.org/spreadsheetml/2006/main" count="57" uniqueCount="57">
  <si>
    <t>Explanation</t>
  </si>
  <si>
    <t>Brick Height</t>
  </si>
  <si>
    <r>
      <t xml:space="preserve">Dome height </t>
    </r>
    <r>
      <rPr>
        <sz val="11"/>
        <color theme="1"/>
        <rFont val="Calibri"/>
        <family val="2"/>
        <scheme val="minor"/>
      </rPr>
      <t>(inches)</t>
    </r>
  </si>
  <si>
    <t>Oven diameter</t>
  </si>
  <si>
    <t>Side Angle</t>
  </si>
  <si>
    <t>Inner Arc Angle</t>
  </si>
  <si>
    <t>Diameter of a circle that will give a constant arc for a dome based on  desired dome height and soldier course height</t>
  </si>
  <si>
    <t>Degrees of the circle that form the arc from soldiers to top of dome</t>
  </si>
  <si>
    <t>Length of arc from dome center to soldier bricks - interior face one side of dome</t>
  </si>
  <si>
    <t>Height of the inside facing edge of standard bricks (normally 2.5")</t>
  </si>
  <si>
    <t>Distance from IT Pivot to Dome Floor</t>
  </si>
  <si>
    <t>Height of inside of dome using a fixed length IT</t>
  </si>
  <si>
    <t>Mortar Joint size</t>
  </si>
  <si>
    <t>Default is 1/8"</t>
  </si>
  <si>
    <t>Inner Radius</t>
  </si>
  <si>
    <t>Outer Radius</t>
  </si>
  <si>
    <t>Brick Count</t>
  </si>
  <si>
    <t>Inside Bottom</t>
  </si>
  <si>
    <t>Inside Top</t>
  </si>
  <si>
    <t>Outside Bottom</t>
  </si>
  <si>
    <t>Soldier</t>
  </si>
  <si>
    <t>Brick Depth</t>
  </si>
  <si>
    <t>Depth of brick that will be the thickness of dome (normally 4.5")</t>
  </si>
  <si>
    <t>Oven size</t>
  </si>
  <si>
    <t>Courses</t>
  </si>
  <si>
    <r>
      <t xml:space="preserve">Finished Course Measurements
</t>
    </r>
    <r>
      <rPr>
        <sz val="11"/>
        <color theme="1"/>
        <rFont val="Calibri"/>
        <family val="2"/>
        <scheme val="minor"/>
      </rPr>
      <t>(inches)</t>
    </r>
  </si>
  <si>
    <t>Number of full height courses beyond the soldier to complete dome</t>
  </si>
  <si>
    <t>Course</t>
  </si>
  <si>
    <t>Course Number</t>
  </si>
  <si>
    <r>
      <t xml:space="preserve">Input oven dimensions all in </t>
    </r>
    <r>
      <rPr>
        <b/>
        <i/>
        <sz val="11"/>
        <color theme="1"/>
        <rFont val="Calibri"/>
        <family val="2"/>
        <scheme val="minor"/>
      </rPr>
      <t>inches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36"/>
        <color theme="1"/>
        <rFont val="Calibri"/>
        <family val="2"/>
      </rPr>
      <t>↓</t>
    </r>
  </si>
  <si>
    <r>
      <t xml:space="preserve">Cut Brick Dimensions </t>
    </r>
    <r>
      <rPr>
        <sz val="12"/>
        <color theme="1"/>
        <rFont val="Calibri"/>
        <family val="2"/>
        <scheme val="minor"/>
      </rPr>
      <t>(inches)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(inches)</t>
    </r>
  </si>
  <si>
    <t>Pivot point to flat end, based on inputs</t>
  </si>
  <si>
    <t>Brick Width</t>
  </si>
  <si>
    <t>Width of a standard brick (normally 4.5")</t>
  </si>
  <si>
    <t>Inner Height from Pivot</t>
  </si>
  <si>
    <t>Outer Height from Pivot</t>
  </si>
  <si>
    <t>Not exact, as it assumes hemisphere shape w/out entry arch</t>
  </si>
  <si>
    <t>Inner dimensions of the plug, should be less than 2 bricks wide</t>
  </si>
  <si>
    <r>
      <t>Plug size</t>
    </r>
    <r>
      <rPr>
        <sz val="11"/>
        <color theme="1"/>
        <rFont val="Calibri"/>
        <family val="2"/>
        <scheme val="minor"/>
      </rPr>
      <t xml:space="preserve"> (inches)</t>
    </r>
  </si>
  <si>
    <r>
      <t xml:space="preserve">Effective Radius </t>
    </r>
    <r>
      <rPr>
        <sz val="11"/>
        <color theme="1"/>
        <rFont val="Calibri"/>
        <family val="2"/>
        <scheme val="minor"/>
      </rPr>
      <t>(inches)</t>
    </r>
  </si>
  <si>
    <r>
      <t xml:space="preserve">Inner Arc Length </t>
    </r>
    <r>
      <rPr>
        <sz val="11"/>
        <color theme="1"/>
        <rFont val="Calibri"/>
        <family val="2"/>
        <scheme val="minor"/>
      </rPr>
      <t xml:space="preserve"> (inches)</t>
    </r>
  </si>
  <si>
    <t>Dome</t>
  </si>
  <si>
    <t>Floor, bricks on wide edge</t>
  </si>
  <si>
    <t>Floor, bricks on narrow edge</t>
  </si>
  <si>
    <r>
      <t>Length of IT</t>
    </r>
    <r>
      <rPr>
        <sz val="11"/>
        <color theme="1"/>
        <rFont val="Calibri"/>
        <family val="2"/>
        <scheme val="minor"/>
      </rPr>
      <t xml:space="preserve"> (inches)</t>
    </r>
  </si>
  <si>
    <t>Rough Brick Count (what to order)</t>
  </si>
  <si>
    <t>OR</t>
  </si>
  <si>
    <r>
      <t xml:space="preserve">Jig Setup 
(see graphic)
</t>
    </r>
    <r>
      <rPr>
        <sz val="11"/>
        <color theme="1"/>
        <rFont val="Calibri"/>
        <family val="2"/>
        <scheme val="minor"/>
      </rPr>
      <t>(degrees)</t>
    </r>
  </si>
  <si>
    <r>
      <t>Door height</t>
    </r>
    <r>
      <rPr>
        <sz val="11"/>
        <color theme="1"/>
        <rFont val="Calibri"/>
        <family val="2"/>
        <scheme val="minor"/>
      </rPr>
      <t xml:space="preserve"> (inches)</t>
    </r>
  </si>
  <si>
    <t>Recommended door height at 63% of dome height</t>
  </si>
  <si>
    <t>Height of vertical  course(s)</t>
  </si>
  <si>
    <r>
      <t xml:space="preserve">Height that any vertical bricks extend above the floor - installed as either  soldiers or sailors.  Top of these bricks is the start of your dome arc. </t>
    </r>
    <r>
      <rPr>
        <b/>
        <sz val="11"/>
        <color theme="1"/>
        <rFont val="Calibri"/>
        <family val="2"/>
        <scheme val="minor"/>
      </rPr>
      <t xml:space="preserve"> 
Must be greater than Pivot height for the spreadsheet to work!</t>
    </r>
  </si>
  <si>
    <r>
      <t xml:space="preserve">Include thickness of any plywood + any distance of the pivot point from the surface.  </t>
    </r>
    <r>
      <rPr>
        <b/>
        <sz val="11"/>
        <color theme="1"/>
        <rFont val="Calibri"/>
        <family val="2"/>
        <scheme val="minor"/>
      </rPr>
      <t>Must be less than height of first vertical course for spreadsheet to work!</t>
    </r>
  </si>
  <si>
    <t>Back Tilt (if using Hendo Jig)</t>
  </si>
  <si>
    <t>http://www.fornobravo.com/forum/f28/possible-new-idea-brick-cutting-table-16780.html</t>
  </si>
  <si>
    <t>http://www.fornobravo.com/forum/f28/twist-tilt-2802.html</t>
  </si>
  <si>
    <t>Side Tilt (if using Chipster's Jig)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</si>
</sst>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2">
    <xf numFmtId="0" fontId="0" fillId="0" borderId="0" xfId="0"/>
    <xf numFmtId="164" fontId="0" fillId="0" borderId="0" xfId="1" applyNumberFormat="1" applyFont="1"/>
    <xf numFmtId="0" fontId="0" fillId="0" borderId="0" xfId="0" applyAlignment="1">
      <alignment vertical="top"/>
    </xf>
    <xf numFmtId="43" fontId="0" fillId="0" borderId="0" xfId="1" applyNumberFormat="1" applyFont="1"/>
    <xf numFmtId="0" fontId="0" fillId="0" borderId="0" xfId="0" applyAlignment="1">
      <alignment vertical="center" wrapText="1"/>
    </xf>
    <xf numFmtId="43" fontId="0" fillId="0" borderId="0" xfId="1" applyNumberFormat="1" applyFont="1" applyAlignment="1">
      <alignment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center" wrapText="1"/>
    </xf>
    <xf numFmtId="43" fontId="0" fillId="2" borderId="1" xfId="1" applyNumberFormat="1" applyFont="1" applyFill="1" applyBorder="1" applyAlignment="1">
      <alignment vertical="center"/>
    </xf>
    <xf numFmtId="43" fontId="0" fillId="2" borderId="1" xfId="1" applyNumberFormat="1" applyFont="1" applyFill="1" applyBorder="1" applyAlignment="1">
      <alignment horizontal="right" vertical="center"/>
    </xf>
    <xf numFmtId="164" fontId="0" fillId="0" borderId="0" xfId="1" applyNumberFormat="1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5" fontId="2" fillId="0" borderId="0" xfId="1" applyNumberFormat="1" applyFont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vertical="top"/>
    </xf>
    <xf numFmtId="0" fontId="5" fillId="0" borderId="0" xfId="0" applyFont="1"/>
    <xf numFmtId="164" fontId="0" fillId="0" borderId="1" xfId="1" applyNumberFormat="1" applyFont="1" applyBorder="1"/>
    <xf numFmtId="0" fontId="4" fillId="0" borderId="0" xfId="0" applyFont="1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  <xf numFmtId="164" fontId="0" fillId="0" borderId="0" xfId="1" applyNumberFormat="1" applyFont="1" applyBorder="1"/>
    <xf numFmtId="165" fontId="4" fillId="0" borderId="0" xfId="1" applyNumberFormat="1" applyFont="1"/>
    <xf numFmtId="165" fontId="2" fillId="0" borderId="0" xfId="1" applyNumberFormat="1" applyFont="1"/>
    <xf numFmtId="165" fontId="4" fillId="0" borderId="0" xfId="1" applyNumberFormat="1" applyFont="1" applyAlignment="1">
      <alignment horizontal="right"/>
    </xf>
    <xf numFmtId="0" fontId="0" fillId="0" borderId="0" xfId="0" applyFont="1" applyAlignment="1">
      <alignment horizontal="right" wrapText="1"/>
    </xf>
    <xf numFmtId="0" fontId="0" fillId="0" borderId="0" xfId="0" applyAlignment="1">
      <alignment vertical="center"/>
    </xf>
    <xf numFmtId="166" fontId="0" fillId="2" borderId="1" xfId="1" applyNumberFormat="1" applyFont="1" applyFill="1" applyBorder="1" applyAlignment="1">
      <alignment vertical="center"/>
    </xf>
    <xf numFmtId="43" fontId="0" fillId="0" borderId="1" xfId="1" applyNumberFormat="1" applyFont="1" applyBorder="1"/>
    <xf numFmtId="164" fontId="0" fillId="0" borderId="0" xfId="1" applyNumberFormat="1" applyFont="1" applyAlignment="1">
      <alignment horizontal="right" vertical="center"/>
    </xf>
    <xf numFmtId="165" fontId="4" fillId="0" borderId="1" xfId="1" applyNumberFormat="1" applyFont="1" applyBorder="1" applyAlignment="1">
      <alignment horizontal="right"/>
    </xf>
    <xf numFmtId="43" fontId="0" fillId="2" borderId="1" xfId="1" applyNumberFormat="1" applyFont="1" applyFill="1" applyBorder="1"/>
    <xf numFmtId="0" fontId="2" fillId="0" borderId="1" xfId="0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 wrapText="1"/>
    </xf>
    <xf numFmtId="165" fontId="0" fillId="0" borderId="0" xfId="1" applyNumberFormat="1" applyFont="1" applyAlignment="1">
      <alignment vertical="center"/>
    </xf>
    <xf numFmtId="0" fontId="8" fillId="0" borderId="0" xfId="0" applyFont="1" applyAlignment="1">
      <alignment horizontal="left" vertical="center" wrapText="1"/>
    </xf>
    <xf numFmtId="43" fontId="2" fillId="0" borderId="0" xfId="1" applyNumberFormat="1" applyFont="1" applyAlignment="1">
      <alignment horizontal="center" wrapText="1"/>
    </xf>
    <xf numFmtId="43" fontId="2" fillId="0" borderId="2" xfId="1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9" fillId="0" borderId="0" xfId="2" applyNumberForma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fornobravo.com/forum/f28/twist-tilt-2802.html" TargetMode="External"/><Relationship Id="rId1" Type="http://schemas.openxmlformats.org/officeDocument/2006/relationships/hyperlink" Target="http://www.fornobravo.com/forum/f28/possible-new-idea-brick-cutting-table-1678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="80" zoomScaleNormal="80" workbookViewId="0">
      <selection activeCell="M25" sqref="M25"/>
    </sheetView>
  </sheetViews>
  <sheetFormatPr defaultRowHeight="15" x14ac:dyDescent="0.25"/>
  <cols>
    <col min="1" max="1" width="25.85546875" style="6" customWidth="1"/>
    <col min="2" max="2" width="13.42578125" style="3" customWidth="1"/>
    <col min="3" max="3" width="80.140625" style="2" customWidth="1"/>
    <col min="4" max="4" width="4.42578125" customWidth="1"/>
    <col min="5" max="5" width="10.42578125" style="22" customWidth="1"/>
    <col min="6" max="6" width="9.140625" style="1"/>
    <col min="7" max="7" width="5.5703125" style="22" customWidth="1"/>
    <col min="8" max="8" width="9.5703125" bestFit="1" customWidth="1"/>
    <col min="11" max="11" width="9.140625" style="1"/>
    <col min="12" max="12" width="3.140625" style="20" customWidth="1"/>
    <col min="13" max="14" width="9.85546875" style="1" customWidth="1"/>
    <col min="15" max="15" width="9.140625" style="1"/>
    <col min="16" max="16" width="3.140625" customWidth="1"/>
    <col min="17" max="17" width="9.140625" style="1"/>
    <col min="18" max="18" width="9.140625" style="1" hidden="1" customWidth="1"/>
  </cols>
  <sheetData>
    <row r="1" spans="1:19" s="16" customFormat="1" ht="54" customHeight="1" x14ac:dyDescent="0.3">
      <c r="A1" s="14"/>
      <c r="B1" s="35" t="s">
        <v>29</v>
      </c>
      <c r="C1" s="15"/>
      <c r="E1" s="39" t="s">
        <v>28</v>
      </c>
      <c r="F1" s="39" t="s">
        <v>16</v>
      </c>
      <c r="G1" s="21"/>
      <c r="H1" s="37" t="s">
        <v>25</v>
      </c>
      <c r="I1" s="37"/>
      <c r="J1" s="37"/>
      <c r="K1" s="37"/>
      <c r="L1" s="18"/>
      <c r="M1" s="37" t="s">
        <v>47</v>
      </c>
      <c r="N1" s="37"/>
      <c r="O1" s="38"/>
      <c r="Q1" s="37" t="s">
        <v>30</v>
      </c>
      <c r="R1" s="38"/>
      <c r="S1" s="38"/>
    </row>
    <row r="2" spans="1:19" s="11" customFormat="1" ht="60" x14ac:dyDescent="0.25">
      <c r="A2" s="24"/>
      <c r="B2" s="36"/>
      <c r="C2" s="11" t="s">
        <v>0</v>
      </c>
      <c r="E2" s="39" t="s">
        <v>27</v>
      </c>
      <c r="F2" s="39"/>
      <c r="G2" s="13"/>
      <c r="H2" s="31" t="s">
        <v>14</v>
      </c>
      <c r="I2" s="31" t="s">
        <v>15</v>
      </c>
      <c r="J2" s="31" t="s">
        <v>34</v>
      </c>
      <c r="K2" s="32" t="s">
        <v>35</v>
      </c>
      <c r="L2" s="19"/>
      <c r="M2" s="32" t="s">
        <v>56</v>
      </c>
      <c r="N2" s="32" t="s">
        <v>53</v>
      </c>
      <c r="O2" s="32" t="s">
        <v>4</v>
      </c>
      <c r="P2" s="12"/>
      <c r="Q2" s="32" t="s">
        <v>17</v>
      </c>
      <c r="R2" s="32" t="s">
        <v>18</v>
      </c>
      <c r="S2" s="31" t="s">
        <v>19</v>
      </c>
    </row>
    <row r="3" spans="1:19" ht="18.75" x14ac:dyDescent="0.3">
      <c r="A3" s="7" t="s">
        <v>23</v>
      </c>
      <c r="B3" s="8">
        <v>39</v>
      </c>
      <c r="C3" s="4" t="s">
        <v>3</v>
      </c>
      <c r="E3" s="29" t="s">
        <v>20</v>
      </c>
      <c r="F3" s="17">
        <f>ROUND(PI()*((I3)*2)/(S3+Joint),1)</f>
        <v>32.6</v>
      </c>
      <c r="G3" s="23"/>
      <c r="H3" s="17">
        <f>Diameter/2</f>
        <v>19.5</v>
      </c>
      <c r="I3" s="17">
        <f>(Diameter/2+Brick_Depth)</f>
        <v>24</v>
      </c>
      <c r="J3" s="17">
        <f>Soldier-pivot</f>
        <v>1.5</v>
      </c>
      <c r="K3" s="17">
        <f>Soldier-pivot</f>
        <v>1.5</v>
      </c>
      <c r="M3" s="40">
        <v>0</v>
      </c>
      <c r="N3" s="17">
        <v>0</v>
      </c>
      <c r="O3" s="17">
        <f>90-DEGREES(ATAN(Brick_Depth/((S3-Q3)/2)))</f>
        <v>5.5003250152672649</v>
      </c>
      <c r="Q3" s="27">
        <f>PI()*H3*2/F3-Joint</f>
        <v>3.6333470395706113</v>
      </c>
      <c r="R3" s="27"/>
      <c r="S3" s="27">
        <f>Brick_Width</f>
        <v>4.5</v>
      </c>
    </row>
    <row r="4" spans="1:19" ht="30" x14ac:dyDescent="0.3">
      <c r="A4" s="7" t="s">
        <v>10</v>
      </c>
      <c r="B4" s="8">
        <v>1</v>
      </c>
      <c r="C4" s="4" t="s">
        <v>52</v>
      </c>
      <c r="E4" s="29">
        <v>1</v>
      </c>
      <c r="F4" s="17">
        <f>IF(E4&gt;0,ROUND(PI()*((I3)*2)/(S4+Joint),1),0)</f>
        <v>32.6</v>
      </c>
      <c r="G4" s="23"/>
      <c r="H4" s="17">
        <f>IF(E4&gt;0,IT*SIN(RADIANS(90-N4)),0)</f>
        <v>19.36437975939268</v>
      </c>
      <c r="I4" s="17">
        <f>IF(E4&gt;0,(IT+Brick_Depth)*SIN(RADIANS(90-N4)),0)</f>
        <v>23.819920151252333</v>
      </c>
      <c r="J4" s="17">
        <f>IF(E4&gt;0,IT*COS(RADIANS(90-N4)),0)</f>
        <v>2.7424070693504086</v>
      </c>
      <c r="K4" s="17">
        <f>IF(E4&gt;0,(IT+Brick_Depth)*COS(RADIANS(90-N4)),0)</f>
        <v>3.3734061315581947</v>
      </c>
      <c r="M4" s="40">
        <f>90-DEGREES(ATAN(Brick/(2*PI()*(I4-I5)/(F4*2))))</f>
        <v>1.378739308106006</v>
      </c>
      <c r="N4" s="17">
        <f>90-Inner_arc+Brick/Dome_arc*Inner_arc/2</f>
        <v>8.06069342959991</v>
      </c>
      <c r="O4" s="17">
        <f>IF(E4&gt;0,90-DEGREES(ATAN(Brick_Depth/((S4-Q4)/2))),0)</f>
        <v>5.5003250152672649</v>
      </c>
      <c r="Q4" s="27">
        <f>IF(E4&gt;0,PI()*H3*2/F4-Joint,0)</f>
        <v>3.6333470395706113</v>
      </c>
      <c r="R4" s="27"/>
      <c r="S4" s="27">
        <f>S3</f>
        <v>4.5</v>
      </c>
    </row>
    <row r="5" spans="1:19" ht="45" x14ac:dyDescent="0.3">
      <c r="A5" s="7" t="s">
        <v>50</v>
      </c>
      <c r="B5" s="9">
        <v>2.5</v>
      </c>
      <c r="C5" s="4" t="s">
        <v>51</v>
      </c>
      <c r="E5" s="29">
        <v>2</v>
      </c>
      <c r="F5" s="17">
        <f>IF(E5&gt;0,ROUND(PI()*((I4)*2)/(S5+Joint),1),0)</f>
        <v>32.4</v>
      </c>
      <c r="G5" s="23"/>
      <c r="H5" s="17">
        <f>IF(E5&gt;0,IT*SIN(RADIANS(90-N5)),0)</f>
        <v>18.856788203191527</v>
      </c>
      <c r="I5" s="17">
        <f>IF(E5&gt;0,(IT+Brick_Depth)*SIN(RADIANS(90-N5)),0)</f>
        <v>23.195537109378932</v>
      </c>
      <c r="J5" s="17">
        <f>IF(E5&gt;0,IT*COS(RADIANS(90-N5)),0)</f>
        <v>5.1885969837690045</v>
      </c>
      <c r="K5" s="17">
        <f>IF(E5&gt;0,(IT+Brick_Depth)*COS(RADIANS(90-N5)),0)</f>
        <v>6.3824386521059733</v>
      </c>
      <c r="M5" s="40">
        <f>IF(E5&gt;0,90-DEGREES(ATAN(Brick/(2*PI()*(I5-I6)/(F5*2)))),0)</f>
        <v>2.2274977116755394</v>
      </c>
      <c r="N5" s="17">
        <f>IF(E5&gt;0,Brick/Dome_arc*Inner_arc_angle+N4,0)</f>
        <v>15.384669578808673</v>
      </c>
      <c r="O5" s="17">
        <f>IF(E5&gt;0,90-DEGREES(ATAN(Brick_Depth/((S5-Q5)/2))),0)</f>
        <v>5.5198817125001653</v>
      </c>
      <c r="Q5" s="27">
        <f>IF(E5&gt;0,PI()*H4*2/F5-Joint,0)</f>
        <v>3.6302464934216623</v>
      </c>
      <c r="R5" s="27"/>
      <c r="S5" s="30">
        <f>IF(E5&gt;0,S4,0)</f>
        <v>4.5</v>
      </c>
    </row>
    <row r="6" spans="1:19" ht="18.75" x14ac:dyDescent="0.3">
      <c r="A6" s="7" t="s">
        <v>1</v>
      </c>
      <c r="B6" s="8">
        <v>2.5</v>
      </c>
      <c r="C6" s="25" t="s">
        <v>9</v>
      </c>
      <c r="E6" s="29">
        <f>IF(MAX(E$4:E5)&lt;Courses,E5+1,0)</f>
        <v>3</v>
      </c>
      <c r="F6" s="17">
        <f>IF(E6&gt;0,ROUND(PI()*((I5)*2)/(S6+Joint),1),0)</f>
        <v>31.5</v>
      </c>
      <c r="G6" s="23"/>
      <c r="H6" s="17">
        <f>IF(E6&gt;0,IT*SIN(RADIANS(90-N6)),0)</f>
        <v>18.041498514154039</v>
      </c>
      <c r="I6" s="17">
        <f>IF(E6&gt;0,(IT+Brick_Depth)*SIN(RADIANS(90-N6)),0)</f>
        <v>22.19265782616344</v>
      </c>
      <c r="J6" s="17">
        <f>IF(E6&gt;0,IT*COS(RADIANS(90-N6)),0)</f>
        <v>7.5501212813952572</v>
      </c>
      <c r="K6" s="17">
        <f>IF(E6&gt;0,(IT+Brick_Depth)*COS(RADIANS(90-N6)),0)</f>
        <v>9.2873248867097384</v>
      </c>
      <c r="M6" s="40">
        <f>IF(E6&gt;0,90-DEGREES(ATAN(Brick/(2*PI()*(I6-I7)/(F6*2)))),0)</f>
        <v>3.1169464585425999</v>
      </c>
      <c r="N6" s="17">
        <f>IF(E6&gt;0,Brick/Dome_arc*Inner_arc_angle+N5,0)</f>
        <v>22.708645728017437</v>
      </c>
      <c r="O6" s="17">
        <f>IF(E6&gt;0,90-DEGREES(ATAN(Brick_Depth/((S6-Q6)/2))),0)</f>
        <v>5.4817491695975491</v>
      </c>
      <c r="Q6" s="27">
        <f>IF(E6&gt;0,PI()*H5*2/F6-Joint,0)</f>
        <v>3.6362918913933444</v>
      </c>
      <c r="R6" s="27"/>
      <c r="S6" s="30">
        <f>IF(E6&gt;0,S5,0)</f>
        <v>4.5</v>
      </c>
    </row>
    <row r="7" spans="1:19" ht="18.75" x14ac:dyDescent="0.3">
      <c r="A7" s="7" t="s">
        <v>32</v>
      </c>
      <c r="B7" s="8">
        <v>4.5</v>
      </c>
      <c r="C7" s="25" t="s">
        <v>33</v>
      </c>
      <c r="E7" s="29">
        <f>IF(MAX(E$4:E6)&lt;Courses,E6+1,0)</f>
        <v>4</v>
      </c>
      <c r="F7" s="17">
        <f>IF(E7&gt;0,ROUND(PI()*((I6)*2)/(S7+Joint),1),0)</f>
        <v>33.799999999999997</v>
      </c>
      <c r="G7" s="23"/>
      <c r="H7" s="17">
        <f>IF(E7&gt;0,IT*SIN(RADIANS(90-N7)),0)</f>
        <v>16.931814289495946</v>
      </c>
      <c r="I7" s="17">
        <f>IF(E7&gt;0,(IT+Brick_Depth)*SIN(RADIANS(90-N7)),0)</f>
        <v>20.827646916808646</v>
      </c>
      <c r="J7" s="17">
        <f>IF(E7&gt;0,IT*COS(RADIANS(90-N7)),0)</f>
        <v>9.7884454775015666</v>
      </c>
      <c r="K7" s="17">
        <f>IF(E7&gt;0,(IT+Brick_Depth)*COS(RADIANS(90-N7)),0)</f>
        <v>12.04066397044709</v>
      </c>
      <c r="M7" s="40">
        <f>IF(E7&gt;0,90-DEGREES(ATAN(Brick/(2*PI()*(I7-I8)/(F7*2)))),0)</f>
        <v>3.6268212976612091</v>
      </c>
      <c r="N7" s="17">
        <f>IF(E7&gt;0,Brick/Dome_arc*Inner_arc_angle+N6,0)</f>
        <v>30.032621877226202</v>
      </c>
      <c r="O7" s="17">
        <f>IF(E7&gt;0,90-DEGREES(ATAN(Brick_Depth/((S7-Q7)/2))),0)</f>
        <v>4.897715546175661</v>
      </c>
      <c r="Q7" s="27">
        <f>IF(E7&gt;0,PI()*H6*2/F7-Joint,0)</f>
        <v>3.2287893012909765</v>
      </c>
      <c r="R7" s="27"/>
      <c r="S7" s="30">
        <v>4</v>
      </c>
    </row>
    <row r="8" spans="1:19" ht="18.75" x14ac:dyDescent="0.3">
      <c r="A8" s="7" t="s">
        <v>21</v>
      </c>
      <c r="B8" s="8">
        <v>4.5</v>
      </c>
      <c r="C8" s="25" t="s">
        <v>22</v>
      </c>
      <c r="E8" s="29">
        <f>IF(MAX(E$4:E7)&lt;Courses,E7+1,0)</f>
        <v>5</v>
      </c>
      <c r="F8" s="17">
        <f>IF(E8&gt;0,ROUND(PI()*((I7)*2)/(S8+Joint),1),0)</f>
        <v>31.7</v>
      </c>
      <c r="G8" s="23"/>
      <c r="H8" s="17">
        <f>IF(E8&gt;0,IT*SIN(RADIANS(90-N8)),0)</f>
        <v>15.545842948162932</v>
      </c>
      <c r="I8" s="17">
        <f>IF(E8&gt;0,(IT+Brick_Depth)*SIN(RADIANS(90-N8)),0)</f>
        <v>19.122778127171159</v>
      </c>
      <c r="J8" s="17">
        <f>IF(E8&gt;0,IT*COS(RADIANS(90-N8)),0)</f>
        <v>11.867045421293913</v>
      </c>
      <c r="K8" s="17">
        <f>IF(E8&gt;0,(IT+Brick_Depth)*COS(RADIANS(90-N8)),0)</f>
        <v>14.59752792905209</v>
      </c>
      <c r="M8" s="40">
        <f>IF(E8&gt;0,90-DEGREES(ATAN(Brick/(2*PI()*(I8-I9)/(F8*2)))),0)</f>
        <v>4.5712639672296262</v>
      </c>
      <c r="N8" s="17">
        <f>IF(E8&gt;0,Brick/Dome_arc*Inner_arc_angle+N7,0)</f>
        <v>37.356598026434966</v>
      </c>
      <c r="O8" s="17">
        <f>IF(E8&gt;0,90-DEGREES(ATAN(Brick_Depth/((S8-Q8)/2))),0)</f>
        <v>4.8836390745595253</v>
      </c>
      <c r="Q8" s="27">
        <f>IF(E8&gt;0,PI()*H7*2/F8-Joint,0)</f>
        <v>3.2310166172761607</v>
      </c>
      <c r="R8" s="27"/>
      <c r="S8" s="30">
        <v>4</v>
      </c>
    </row>
    <row r="9" spans="1:19" ht="18.75" x14ac:dyDescent="0.3">
      <c r="A9" s="7" t="s">
        <v>12</v>
      </c>
      <c r="B9" s="26">
        <v>0.125</v>
      </c>
      <c r="C9" s="25" t="s">
        <v>13</v>
      </c>
      <c r="E9" s="29">
        <f>IF(MAX(E$4:E8)&lt;Courses,E8+1,0)</f>
        <v>6</v>
      </c>
      <c r="F9" s="17">
        <f>IF(E9&gt;0,ROUND(PI()*((I8)*2)/(S9+Joint),1),0)</f>
        <v>29.1</v>
      </c>
      <c r="G9" s="23"/>
      <c r="H9" s="17">
        <f>IF(E9&gt;0,IT*SIN(RADIANS(90-N9)),0)</f>
        <v>13.906200260629666</v>
      </c>
      <c r="I9" s="17">
        <f>IF(E9&gt;0,(IT+Brick_Depth)*SIN(RADIANS(90-N9)),0)</f>
        <v>17.105870878970602</v>
      </c>
      <c r="J9" s="17">
        <f>IF(E9&gt;0,IT*COS(RADIANS(90-N9)),0)</f>
        <v>13.752003283567939</v>
      </c>
      <c r="K9" s="17">
        <f>IF(E9&gt;0,(IT+Brick_Depth)*COS(RADIANS(90-N9)),0)</f>
        <v>16.916194797071146</v>
      </c>
      <c r="M9" s="40">
        <f>IF(E9&gt;0,90-DEGREES(ATAN(Brick/(2*PI()*(I9-I10)/(F9*2)))),0)</f>
        <v>5.66240324559854</v>
      </c>
      <c r="N9" s="17">
        <f>IF(E9&gt;0,Brick/Dome_arc*Inner_arc_angle+N8,0)</f>
        <v>44.680574175643727</v>
      </c>
      <c r="O9" s="17">
        <f>IF(E9&gt;0,90-DEGREES(ATAN(Brick_Depth/((S9-Q9)/2))),0)</f>
        <v>4.8798755917474494</v>
      </c>
      <c r="Q9" s="27">
        <f>IF(E9&gt;0,PI()*H8*2/F9-Joint,0)</f>
        <v>3.2316120962068284</v>
      </c>
      <c r="R9" s="27"/>
      <c r="S9" s="30">
        <f>IF(E9&gt;0,S8,0)</f>
        <v>4</v>
      </c>
    </row>
    <row r="10" spans="1:19" ht="18.75" x14ac:dyDescent="0.3">
      <c r="A10" s="7"/>
      <c r="B10" s="5"/>
      <c r="C10" s="4"/>
      <c r="E10" s="29">
        <f>IF(MAX(E$4:E9)&lt;Courses,E9+1,0)</f>
        <v>7</v>
      </c>
      <c r="F10" s="17">
        <f>IF(E10&gt;0,ROUND(PI()*((I9)*2)/(S10+Joint),1),0)</f>
        <v>26.1</v>
      </c>
      <c r="G10" s="23"/>
      <c r="H10" s="17">
        <f>IF(E10&gt;0,IT*SIN(RADIANS(90-N10)),0)</f>
        <v>12.039641313077118</v>
      </c>
      <c r="I10" s="17">
        <f>IF(E10&gt;0,(IT+Brick_Depth)*SIN(RADIANS(90-N10)),0)</f>
        <v>14.809836322700278</v>
      </c>
      <c r="J10" s="17">
        <f>IF(E10&gt;0,IT*COS(RADIANS(90-N10)),0)</f>
        <v>15.412561015368167</v>
      </c>
      <c r="K10" s="17">
        <f>IF(E10&gt;0,(IT+Brick_Depth)*COS(RADIANS(90-N10)),0)</f>
        <v>18.958829421546547</v>
      </c>
      <c r="M10" s="40">
        <f>IF(E10&gt;0,90-DEGREES(ATAN(Brick/(2*PI()*(I10-I11)/(F10*2)))),0)</f>
        <v>6.9660134817444259</v>
      </c>
      <c r="N10" s="17">
        <f>IF(E10&gt;0,Brick/Dome_arc*Inner_arc_angle+N9,0)</f>
        <v>52.004550324852488</v>
      </c>
      <c r="O10" s="17">
        <f>IF(E10&gt;0,90-DEGREES(ATAN(Brick_Depth/((S10-Q10)/2))),0)</f>
        <v>4.9361327355094176</v>
      </c>
      <c r="Q10" s="27">
        <f>IF(E10&gt;0,PI()*H9*2/F10-Joint,0)</f>
        <v>3.2227100826162927</v>
      </c>
      <c r="R10" s="27"/>
      <c r="S10" s="30">
        <f>IF(E10&gt;0,S9,0)</f>
        <v>4</v>
      </c>
    </row>
    <row r="11" spans="1:19" ht="18.75" x14ac:dyDescent="0.3">
      <c r="A11" s="7" t="s">
        <v>44</v>
      </c>
      <c r="B11" s="28">
        <f>((Diameter/2)^2+(Soldier-pivot)^2)^0.5</f>
        <v>19.557607215607945</v>
      </c>
      <c r="C11" s="4" t="s">
        <v>31</v>
      </c>
      <c r="E11" s="29">
        <f>IF(MAX(E$4:E10)&lt;Courses,E10+1,0)</f>
        <v>8</v>
      </c>
      <c r="F11" s="17">
        <f>IF(E11&gt;0,ROUND(PI()*((I10)*2)/(S11+Joint),1),0)</f>
        <v>22.6</v>
      </c>
      <c r="G11" s="23"/>
      <c r="H11" s="17">
        <f>IF(E11&gt;0,IT*SIN(RADIANS(90-N11)),0)</f>
        <v>9.9766239277389701</v>
      </c>
      <c r="I11" s="17">
        <f>IF(E11&gt;0,(IT+Brick_Depth)*SIN(RADIANS(90-N11)),0)</f>
        <v>12.272140305580788</v>
      </c>
      <c r="J11" s="17">
        <f>IF(E11&gt;0,IT*COS(RADIANS(90-N11)),0)</f>
        <v>16.821622246515531</v>
      </c>
      <c r="K11" s="17">
        <f>IF(E11&gt;0,(IT+Brick_Depth)*COS(RADIANS(90-N11)),0)</f>
        <v>20.692100842123569</v>
      </c>
      <c r="M11" s="40">
        <f>IF(E11&gt;0,90-DEGREES(ATAN(Brick/(2*PI()*(I11-I12)/(F11*2)))),0)</f>
        <v>8.6562011577494928</v>
      </c>
      <c r="N11" s="17">
        <f>IF(E11&gt;0,Brick/Dome_arc*Inner_arc_angle+N10,0)</f>
        <v>59.328526474061249</v>
      </c>
      <c r="O11" s="17">
        <f>IF(E11&gt;0,90-DEGREES(ATAN(Brick_Depth/((S11-Q11)/2))),0)</f>
        <v>4.9391945216990933</v>
      </c>
      <c r="Q11" s="27">
        <f>IF(E11&gt;0,PI()*H10*2/F11-Joint,0)</f>
        <v>3.2222255487627649</v>
      </c>
      <c r="R11" s="27"/>
      <c r="S11" s="30">
        <f>IF(E11&gt;0,S10,0)</f>
        <v>4</v>
      </c>
    </row>
    <row r="12" spans="1:19" ht="18.75" x14ac:dyDescent="0.3">
      <c r="A12" s="7" t="s">
        <v>2</v>
      </c>
      <c r="B12" s="28">
        <f>pivot+IT</f>
        <v>20.557607215607945</v>
      </c>
      <c r="C12" s="4" t="s">
        <v>11</v>
      </c>
      <c r="E12" s="29">
        <f>IF(MAX(E$4:E11)&lt;Courses,E11+1,0)</f>
        <v>9</v>
      </c>
      <c r="F12" s="17">
        <f>IF(E12&gt;0,ROUND(PI()*((I11)*2)/(S12+Joint),1),0)</f>
        <v>18.7</v>
      </c>
      <c r="G12" s="23"/>
      <c r="H12" s="17">
        <f>IF(E12&gt;0,IT*SIN(RADIANS(90-N12)),0)</f>
        <v>7.7508116633632511</v>
      </c>
      <c r="I12" s="17">
        <f>IF(E12&gt;0,(IT+Brick_Depth)*SIN(RADIANS(90-N12)),0)</f>
        <v>9.5341920176480919</v>
      </c>
      <c r="J12" s="17">
        <f>IF(E12&gt;0,IT*COS(RADIANS(90-N12)),0)</f>
        <v>17.956194434207717</v>
      </c>
      <c r="K12" s="17">
        <f>IF(E12&gt;0,(IT+Brick_Depth)*COS(RADIANS(90-N12)),0)</f>
        <v>22.087726173399716</v>
      </c>
      <c r="M12" s="40">
        <f>IF(E12&gt;0,90-DEGREES(ATAN(Brick/(2*PI()*(I12-I13)/(F12*2)))),0)</f>
        <v>11.003535067864988</v>
      </c>
      <c r="N12" s="17">
        <f>IF(E12&gt;0,Brick/Dome_arc*Inner_arc_angle+N11,0)</f>
        <v>66.65250262327001</v>
      </c>
      <c r="O12" s="17">
        <f>IF(E12&gt;0,90-DEGREES(ATAN(Brick_Depth/((S12-Q12)/2))),0)</f>
        <v>4.9081525230463683</v>
      </c>
      <c r="Q12" s="27">
        <f>IF(E12&gt;0,PI()*H11*2/F12-Joint,0)</f>
        <v>3.2271378009639462</v>
      </c>
      <c r="R12" s="27"/>
      <c r="S12" s="30">
        <f>IF(E12&gt;0,S11,0)</f>
        <v>4</v>
      </c>
    </row>
    <row r="13" spans="1:19" ht="18.75" x14ac:dyDescent="0.3">
      <c r="A13" s="7" t="s">
        <v>48</v>
      </c>
      <c r="B13" s="28">
        <f>Dome_height*0.63</f>
        <v>12.951292545833006</v>
      </c>
      <c r="C13" s="4" t="s">
        <v>49</v>
      </c>
      <c r="E13" s="29">
        <f>IF(MAX(E$4:E12)&lt;Courses,E12+1,0)</f>
        <v>10</v>
      </c>
      <c r="F13" s="17">
        <f>IF(E13&gt;0,ROUND(PI()*((I12)*2)/(S13+Joint),1),0)</f>
        <v>14.5</v>
      </c>
      <c r="G13" s="23"/>
      <c r="H13" s="17">
        <f>IF(E13&gt;0,IT*SIN(RADIANS(90-N13)),0)</f>
        <v>5.3985245056449198</v>
      </c>
      <c r="I13" s="17">
        <f>IF(E13&gt;0,(IT+Brick_Depth)*SIN(RADIANS(90-N13)),0)</f>
        <v>6.6406682918241833</v>
      </c>
      <c r="J13" s="17">
        <f>IF(E13&gt;0,IT*COS(RADIANS(90-N13)),0)</f>
        <v>18.797764046874065</v>
      </c>
      <c r="K13" s="17">
        <f>IF(E13&gt;0,(IT+Brick_Depth)*COS(RADIANS(90-N13)),0)</f>
        <v>23.122932114643945</v>
      </c>
      <c r="M13" s="40">
        <f>IF(E13&gt;0,90-DEGREES(ATAN(Brick/(2*PI()*(I13-I14)/(F13*2)))),0)</f>
        <v>14.582648467518183</v>
      </c>
      <c r="N13" s="17">
        <f>IF(E13&gt;0,Brick/Dome_arc*Inner_arc_angle+N12,0)</f>
        <v>73.976478772478771</v>
      </c>
      <c r="O13" s="17">
        <f>IF(E13&gt;0,90-DEGREES(ATAN(Brick_Depth/((S13-Q13)/2))),0)</f>
        <v>4.8672740777093821</v>
      </c>
      <c r="Q13" s="27">
        <f>IF(E13&gt;0,PI()*H12*2/F13-Joint,0)</f>
        <v>3.2336059284110443</v>
      </c>
      <c r="R13" s="27"/>
      <c r="S13" s="30">
        <f>IF(E13&gt;0,S12,0)</f>
        <v>4</v>
      </c>
    </row>
    <row r="14" spans="1:19" ht="30" x14ac:dyDescent="0.3">
      <c r="A14" s="7" t="s">
        <v>39</v>
      </c>
      <c r="B14" s="10">
        <f>((Diameter)^2/(4*(Dome_height-Soldier))+Dome_height-Soldier)/2</f>
        <v>19.557607215607945</v>
      </c>
      <c r="C14" s="4" t="s">
        <v>6</v>
      </c>
      <c r="E14" s="29">
        <f>IF(MAX(E$4:E13)&lt;Courses,E13+1,0)</f>
        <v>11</v>
      </c>
      <c r="F14" s="17">
        <f>IF(E14&gt;0,ROUND(PI()*((I13)*2)/(S14+Joint),1),0)</f>
        <v>10.1</v>
      </c>
      <c r="G14" s="23"/>
      <c r="H14" s="17">
        <f>IF(E14&gt;0,IT*SIN(RADIANS(90-N14)),0)</f>
        <v>2.9581462110607131</v>
      </c>
      <c r="I14" s="17">
        <f>IF(E14&gt;0,(IT+Brick_Depth)*SIN(RADIANS(90-N14)),0)</f>
        <v>3.6387845837932344</v>
      </c>
      <c r="J14" s="17">
        <f>IF(E14&gt;0,IT*COS(RADIANS(90-N14)),0)</f>
        <v>19.332598661172973</v>
      </c>
      <c r="K14" s="17">
        <f>IF(E14&gt;0,(IT+Brick_Depth)*COS(RADIANS(90-N14)),0)</f>
        <v>23.780826556140141</v>
      </c>
      <c r="M14" s="40">
        <f>IF(E14&gt;0,90-DEGREES(ATAN(Brick/(2*PI()*(I14-I15)/(F14*2)))),0)</f>
        <v>24.357964971099705</v>
      </c>
      <c r="N14" s="17">
        <f>IF(E14&gt;0,Brick/Dome_arc*Inner_arc_angle+N13,0)</f>
        <v>81.300454921687532</v>
      </c>
      <c r="O14" s="17">
        <f>IF(E14&gt;0,90-DEGREES(ATAN(Brick_Depth/((S14-Q14)/2))),0)</f>
        <v>4.8685193895013299</v>
      </c>
      <c r="Q14" s="27">
        <f>IF(E14&gt;0,PI()*H13*2/F14-Joint,0)</f>
        <v>3.2334088964670396</v>
      </c>
      <c r="R14" s="27"/>
      <c r="S14" s="30">
        <f>IF(E14&gt;0,S13,0)</f>
        <v>4</v>
      </c>
    </row>
    <row r="15" spans="1:19" ht="18.75" x14ac:dyDescent="0.3">
      <c r="A15" s="7" t="s">
        <v>5</v>
      </c>
      <c r="B15" s="10">
        <f>DEGREES(ATAN(((Diameter/2)/(Dome_radius-Dome_height+Soldier))))</f>
        <v>85.601294645004472</v>
      </c>
      <c r="C15" s="4" t="s">
        <v>7</v>
      </c>
      <c r="E15" s="29">
        <f>IF(MAX(E$4:E14)&lt;Courses,E14+1,0)</f>
        <v>0</v>
      </c>
      <c r="F15" s="17">
        <f>IF(E15&gt;0,ROUND(PI()*((I14)*2)/(S15+Joint),1),0)</f>
        <v>0</v>
      </c>
      <c r="G15" s="23"/>
      <c r="H15" s="17">
        <f>IF(E15&gt;0,IT*SIN(RADIANS(90-N15)),0)</f>
        <v>0</v>
      </c>
      <c r="I15" s="17">
        <f>IF(E15&gt;0,(IT+Brick_Depth)*SIN(RADIANS(90-N15)),0)</f>
        <v>0</v>
      </c>
      <c r="J15" s="17">
        <f>IF(E15&gt;0,IT*COS(RADIANS(90-N15)),0)</f>
        <v>0</v>
      </c>
      <c r="K15" s="17">
        <f>IF(E15&gt;0,(IT+Brick_Depth)*COS(RADIANS(90-N15)),0)</f>
        <v>0</v>
      </c>
      <c r="M15" s="40">
        <f>IF(E15&gt;0,90-DEGREES(ATAN(Brick/(2*PI()*(I15-I16)/(F15*2)))),0)</f>
        <v>0</v>
      </c>
      <c r="N15" s="17">
        <f>IF(E15&gt;0,Brick/Dome_arc*Inner_arc_angle+N14,0)</f>
        <v>0</v>
      </c>
      <c r="O15" s="17">
        <f>IF(E15&gt;0,90-DEGREES(ATAN(Brick_Depth/((S15-Q15)/2))),0)</f>
        <v>0</v>
      </c>
      <c r="Q15" s="27">
        <f>IF(E15&gt;0,PI()*H14*2/F15-Joint,0)</f>
        <v>0</v>
      </c>
      <c r="R15" s="27"/>
      <c r="S15" s="30">
        <f>IF(E15&gt;0,S14,0)</f>
        <v>0</v>
      </c>
    </row>
    <row r="16" spans="1:19" ht="18.75" x14ac:dyDescent="0.3">
      <c r="A16" s="7" t="s">
        <v>40</v>
      </c>
      <c r="B16" s="10">
        <f>Inner_arc_angle/360*Dome_radius*2*PI()</f>
        <v>29.219543080520648</v>
      </c>
      <c r="C16" s="4" t="s">
        <v>8</v>
      </c>
      <c r="E16" s="29">
        <f>IF(MAX(E$4:E15)&lt;Courses,E15+1,0)</f>
        <v>0</v>
      </c>
      <c r="F16" s="17">
        <f>IF(E16&gt;0,ROUND(PI()*((I15)*2)/(S16+Joint),1),0)</f>
        <v>0</v>
      </c>
      <c r="G16" s="23"/>
      <c r="H16" s="17">
        <f>IF(E16&gt;0,IT*SIN(RADIANS(90-N16)),0)</f>
        <v>0</v>
      </c>
      <c r="I16" s="17">
        <f>IF(E16&gt;0,(IT+Brick_Depth)*SIN(RADIANS(90-N16)),0)</f>
        <v>0</v>
      </c>
      <c r="J16" s="17">
        <f>IF(E16&gt;0,IT*COS(RADIANS(90-N16)),0)</f>
        <v>0</v>
      </c>
      <c r="K16" s="17">
        <f>IF(E16&gt;0,(IT+Brick_Depth)*COS(RADIANS(90-N16)),0)</f>
        <v>0</v>
      </c>
      <c r="M16" s="40">
        <f>IF(E16&gt;0,90-DEGREES(ATAN(Brick/(2*PI()*(I16-I17)/(F16*2)))),0)</f>
        <v>0</v>
      </c>
      <c r="N16" s="17">
        <f>IF(E16&gt;0,Brick/Dome_arc*Inner_arc_angle+N15,0)</f>
        <v>0</v>
      </c>
      <c r="O16" s="17">
        <f>IF(E16&gt;0,90-DEGREES(ATAN(Brick_Depth/((S16-Q16)/2))),0)</f>
        <v>0</v>
      </c>
      <c r="Q16" s="27">
        <f>IF(E16&gt;0,PI()*H15*2/F16-Joint,0)</f>
        <v>0</v>
      </c>
      <c r="R16" s="27"/>
      <c r="S16" s="30">
        <f>IF(E16&gt;0,S15,0)</f>
        <v>0</v>
      </c>
    </row>
    <row r="17" spans="1:19" ht="18.75" x14ac:dyDescent="0.3">
      <c r="A17" s="7" t="s">
        <v>24</v>
      </c>
      <c r="B17" s="10">
        <f>ROUNDDOWN(Dome_arc/Brick,0)</f>
        <v>11</v>
      </c>
      <c r="C17" s="25" t="s">
        <v>26</v>
      </c>
      <c r="E17" s="29">
        <f>IF(MAX(E$4:E16)&lt;Courses,E16+1,0)</f>
        <v>0</v>
      </c>
      <c r="F17" s="17">
        <f>IF(E17&gt;0,ROUND(PI()*((I16)*2)/(S17+Joint),1),0)</f>
        <v>0</v>
      </c>
      <c r="G17" s="23"/>
      <c r="H17" s="17">
        <f>IF(E17&gt;0,IT*SIN(RADIANS(90-N17)),0)</f>
        <v>0</v>
      </c>
      <c r="I17" s="17">
        <f>IF(E17&gt;0,(IT+Brick_Depth)*SIN(RADIANS(90-N17)),0)</f>
        <v>0</v>
      </c>
      <c r="J17" s="17">
        <f>IF(E17&gt;0,IT*COS(RADIANS(90-N17)),0)</f>
        <v>0</v>
      </c>
      <c r="K17" s="17">
        <f>IF(E17&gt;0,(IT+Brick_Depth)*COS(RADIANS(90-N17)),0)</f>
        <v>0</v>
      </c>
      <c r="M17" s="40">
        <f>IF(E17&gt;0,90-DEGREES(ATAN(Brick/(2*PI()*(I17-I18)/(F17*2)))),0)</f>
        <v>0</v>
      </c>
      <c r="N17" s="17">
        <f>IF(E17&gt;0,Brick/Dome_arc*Inner_arc_angle+N16,0)</f>
        <v>0</v>
      </c>
      <c r="O17" s="17">
        <f>IF(E17&gt;0,90-DEGREES(ATAN(Brick_Depth/((S17-Q17)/2))),0)</f>
        <v>0</v>
      </c>
      <c r="Q17" s="27">
        <f>IF(E17&gt;0,PI()*H16*2/F17-Joint,0)</f>
        <v>0</v>
      </c>
      <c r="R17" s="27"/>
      <c r="S17" s="30">
        <f>IF(E17&gt;0,S16,0)</f>
        <v>0</v>
      </c>
    </row>
    <row r="18" spans="1:19" ht="18.75" x14ac:dyDescent="0.3">
      <c r="A18" s="7" t="s">
        <v>38</v>
      </c>
      <c r="B18" s="10">
        <f>2*(Dome_arc-Courses*Brick)</f>
        <v>3.4390861610412955</v>
      </c>
      <c r="C18" s="25" t="s">
        <v>37</v>
      </c>
      <c r="E18" s="29">
        <f>IF(MAX(E$4:E17)&lt;Courses,E17+1,0)</f>
        <v>0</v>
      </c>
      <c r="F18" s="17">
        <f>IF(E18&gt;0,ROUND(PI()*((I17)*2)/(S18+Joint),1),0)</f>
        <v>0</v>
      </c>
      <c r="G18" s="23"/>
      <c r="H18" s="17">
        <f>IF(E18&gt;0,IT*SIN(RADIANS(90-N18)),0)</f>
        <v>0</v>
      </c>
      <c r="I18" s="17">
        <f>IF(E18&gt;0,(IT+Brick_Depth)*SIN(RADIANS(90-N18)),0)</f>
        <v>0</v>
      </c>
      <c r="J18" s="17">
        <f>IF(E18&gt;0,IT*COS(RADIANS(90-N18)),0)</f>
        <v>0</v>
      </c>
      <c r="K18" s="17">
        <f>IF(E18&gt;0,(IT+Brick_Depth)*COS(RADIANS(90-N18)),0)</f>
        <v>0</v>
      </c>
      <c r="M18" s="40">
        <f>IF(E18&gt;0,90-DEGREES(ATAN(Brick/(2*PI()*(I18-I19)/(F18*2)))),0)</f>
        <v>0</v>
      </c>
      <c r="N18" s="17">
        <f>IF(E18&gt;0,Brick/Dome_arc*Inner_arc_angle+N17,0)</f>
        <v>0</v>
      </c>
      <c r="O18" s="17">
        <f>IF(E18&gt;0,90-DEGREES(ATAN(Brick_Depth/((S18-Q18)/2))),0)</f>
        <v>0</v>
      </c>
      <c r="Q18" s="27">
        <f>IF(E18&gt;0,PI()*H17*2/F18-Joint,0)</f>
        <v>0</v>
      </c>
      <c r="R18" s="27"/>
      <c r="S18" s="30">
        <f>IF(E18&gt;0,S17,0)</f>
        <v>0</v>
      </c>
    </row>
    <row r="19" spans="1:19" ht="18.75" x14ac:dyDescent="0.3">
      <c r="A19" s="34" t="s">
        <v>45</v>
      </c>
      <c r="B19" s="34"/>
      <c r="C19" s="25"/>
      <c r="E19" s="29">
        <f>IF(MAX(E$4:E18)&lt;Courses,E18+1,0)</f>
        <v>0</v>
      </c>
      <c r="F19" s="17">
        <f>IF(E19&gt;0,ROUND(PI()*((I18)*2)/(S19+Joint),1),0)</f>
        <v>0</v>
      </c>
      <c r="G19" s="23"/>
      <c r="H19" s="17">
        <f>IF(E19&gt;0,IT*SIN(RADIANS(90-N19)),0)</f>
        <v>0</v>
      </c>
      <c r="I19" s="17">
        <f>IF(E19&gt;0,(IT+Brick_Depth)*SIN(RADIANS(90-N19)),0)</f>
        <v>0</v>
      </c>
      <c r="J19" s="17">
        <f>IF(E19&gt;0,IT*COS(RADIANS(90-N19)),0)</f>
        <v>0</v>
      </c>
      <c r="K19" s="17">
        <f>IF(E19&gt;0,(IT+Brick_Depth)*COS(RADIANS(90-N19)),0)</f>
        <v>0</v>
      </c>
      <c r="M19" s="40">
        <f>IF(E19&gt;0,90-DEGREES(ATAN(Brick/(2*PI()*(I19-I20)/(F19*2)))),0)</f>
        <v>0</v>
      </c>
      <c r="N19" s="17">
        <f>IF(E19&gt;0,Brick/Dome_arc*Inner_arc_angle+N18,0)</f>
        <v>0</v>
      </c>
      <c r="O19" s="17">
        <f>IF(E19&gt;0,90-DEGREES(ATAN(Brick_Depth/((S19-Q19)/2))),0)</f>
        <v>0</v>
      </c>
      <c r="Q19" s="27">
        <f>IF(E19&gt;0,PI()*H18*2/F19-Joint,0)</f>
        <v>0</v>
      </c>
      <c r="R19" s="27"/>
      <c r="S19" s="30">
        <f>IF(E19&gt;0,S18,0)</f>
        <v>0</v>
      </c>
    </row>
    <row r="20" spans="1:19" ht="18.75" x14ac:dyDescent="0.3">
      <c r="A20" s="7" t="s">
        <v>41</v>
      </c>
      <c r="B20" s="33">
        <f>SUM(F3:F22)/2</f>
        <v>157.85</v>
      </c>
      <c r="C20" s="25" t="s">
        <v>36</v>
      </c>
      <c r="E20" s="29">
        <f>IF(MAX(E$4:E19)&lt;Courses,E19+1,0)</f>
        <v>0</v>
      </c>
      <c r="F20" s="17">
        <f>IF(E20&gt;0,ROUND(PI()*((I19)*2)/(S20+Joint),1),0)</f>
        <v>0</v>
      </c>
      <c r="G20" s="23"/>
      <c r="H20" s="17">
        <f>IF(E20&gt;0,IT*SIN(RADIANS(90-N20)),0)</f>
        <v>0</v>
      </c>
      <c r="I20" s="17">
        <f>IF(E20&gt;0,(IT+Brick_Depth)*SIN(RADIANS(90-N20)),0)</f>
        <v>0</v>
      </c>
      <c r="J20" s="17">
        <f>IF(E20&gt;0,IT*COS(RADIANS(90-N20)),0)</f>
        <v>0</v>
      </c>
      <c r="K20" s="17">
        <f>IF(E20&gt;0,(IT+Brick_Depth)*COS(RADIANS(90-N20)),0)</f>
        <v>0</v>
      </c>
      <c r="M20" s="40">
        <f>IF(E20&gt;0,90-DEGREES(ATAN(Brick/(2*PI()*(I20-I21)/(F20*2)))),0)</f>
        <v>0</v>
      </c>
      <c r="N20" s="17">
        <f>IF(E20&gt;0,Brick/Dome_arc*Inner_arc_angle+N19,0)</f>
        <v>0</v>
      </c>
      <c r="O20" s="17">
        <f>IF(E20&gt;0,90-DEGREES(ATAN(Brick_Depth/((S20-Q20)/2))),0)</f>
        <v>0</v>
      </c>
      <c r="Q20" s="27">
        <f>IF(E20&gt;0,PI()*H19*2/F20-Joint,0)</f>
        <v>0</v>
      </c>
      <c r="R20" s="27"/>
      <c r="S20" s="30">
        <f>IF(E20&gt;0,S19,0)</f>
        <v>0</v>
      </c>
    </row>
    <row r="21" spans="1:19" ht="18.75" x14ac:dyDescent="0.3">
      <c r="A21" s="7" t="s">
        <v>42</v>
      </c>
      <c r="B21" s="33">
        <f>ROUND((PI()*(Diameter/2)^2)/(Brick_Width*Brick_Depth*2),0)</f>
        <v>29</v>
      </c>
      <c r="C21" s="25" t="str">
        <f>"Assumes exposed face dimension of " &amp;TEXT(Brick_Width,"0.0")&amp;" x "&amp; TEXT(Brick_Depth*2,"0.0")&amp;" inches"</f>
        <v>Assumes exposed face dimension of 4.5 x 9.0 inches</v>
      </c>
      <c r="E21" s="29">
        <f>IF(MAX(E$4:E20)&lt;Courses,E20+1,0)</f>
        <v>0</v>
      </c>
      <c r="F21" s="17">
        <f>IF(E21&gt;0,ROUND(PI()*((I20)*2)/(S21+Joint),1),0)</f>
        <v>0</v>
      </c>
      <c r="G21" s="23"/>
      <c r="H21" s="17">
        <f>IF(E21&gt;0,IT*SIN(RADIANS(90-N21)),0)</f>
        <v>0</v>
      </c>
      <c r="I21" s="17">
        <f>IF(E21&gt;0,(IT+Brick_Depth)*SIN(RADIANS(90-N21)),0)</f>
        <v>0</v>
      </c>
      <c r="J21" s="17">
        <f>IF(E21&gt;0,IT*COS(RADIANS(90-N21)),0)</f>
        <v>0</v>
      </c>
      <c r="K21" s="17">
        <f>IF(E21&gt;0,(IT+Brick_Depth)*COS(RADIANS(90-N21)),0)</f>
        <v>0</v>
      </c>
      <c r="M21" s="40">
        <f>IF(E21&gt;0,90-DEGREES(ATAN(Brick/(2*PI()*(I21-I22)/(F21*2)))),0)</f>
        <v>0</v>
      </c>
      <c r="N21" s="17">
        <f>IF(E21&gt;0,Brick/Dome_arc*Inner_arc_angle+N20,0)</f>
        <v>0</v>
      </c>
      <c r="O21" s="17">
        <f>IF(E21&gt;0,90-DEGREES(ATAN(Brick_Depth/((S21-Q21)/2))),0)</f>
        <v>0</v>
      </c>
      <c r="Q21" s="27">
        <f>IF(E21&gt;0,PI()*H20*2/F21-Joint,0)</f>
        <v>0</v>
      </c>
      <c r="R21" s="27"/>
      <c r="S21" s="30">
        <f>IF(E21&gt;0,S20,0)</f>
        <v>0</v>
      </c>
    </row>
    <row r="22" spans="1:19" ht="18.75" x14ac:dyDescent="0.3">
      <c r="A22" s="7" t="s">
        <v>46</v>
      </c>
      <c r="B22" s="33"/>
      <c r="C22" s="25"/>
      <c r="E22" s="29">
        <f>IF(MAX(E$4:E21)&lt;Courses,E21+1,0)</f>
        <v>0</v>
      </c>
      <c r="F22" s="17">
        <f>IF(E22&gt;0,ROUND(PI()*((I21)*2)/(S22+Joint),1),0)</f>
        <v>0</v>
      </c>
      <c r="G22" s="23"/>
      <c r="H22" s="17">
        <f>IF(E22&gt;0,IT*SIN(RADIANS(90-N22)),0)</f>
        <v>0</v>
      </c>
      <c r="I22" s="17">
        <f>IF(E22&gt;0,(IT+Brick_Depth)*SIN(RADIANS(90-N22)),0)</f>
        <v>0</v>
      </c>
      <c r="J22" s="17">
        <f>IF(E22&gt;0,IT*COS(RADIANS(90-N22)),0)</f>
        <v>0</v>
      </c>
      <c r="K22" s="17">
        <f>IF(E22&gt;0,(IT+Brick_Depth)*COS(RADIANS(90-N22)),0)</f>
        <v>0</v>
      </c>
      <c r="M22" s="40">
        <f>IF(E22&gt;0,90-DEGREES(ATAN(Brick/(2*PI()*(I22-I23)/(F22*2)))),0)</f>
        <v>0</v>
      </c>
      <c r="N22" s="17">
        <f>IF(E22&gt;0,Brick/Dome_arc*Inner_arc_angle+N21,0)</f>
        <v>0</v>
      </c>
      <c r="O22" s="17">
        <f>IF(E22&gt;0,90-DEGREES(ATAN(Brick_Depth/((S22-Q22)/2))),0)</f>
        <v>0</v>
      </c>
      <c r="Q22" s="27">
        <f>IF(E22&gt;0,PI()*H21*2/F22-Joint,0)</f>
        <v>0</v>
      </c>
      <c r="R22" s="27"/>
      <c r="S22" s="30">
        <f>IF(E22&gt;0,S21,0)</f>
        <v>0</v>
      </c>
    </row>
    <row r="23" spans="1:19" ht="30" x14ac:dyDescent="0.25">
      <c r="A23" s="7" t="s">
        <v>43</v>
      </c>
      <c r="B23" s="33">
        <f>ROUND((PI()*(Diameter/2)^2)/(Brick*Brick_Depth*2),0)</f>
        <v>53</v>
      </c>
      <c r="C23" s="25" t="str">
        <f>"Assumes exposed face dimension of " &amp;TEXT(Brick,"0.0")&amp;" x "&amp; TEXT(Brick_Depth*2,"0.0")&amp;" inches (running bond)"</f>
        <v>Assumes exposed face dimension of 2.5 x 9.0 inches (running bond)</v>
      </c>
      <c r="M23" s="41" t="s">
        <v>54</v>
      </c>
      <c r="N23" s="41" t="s">
        <v>55</v>
      </c>
    </row>
  </sheetData>
  <mergeCells count="7">
    <mergeCell ref="A19:B19"/>
    <mergeCell ref="B1:B2"/>
    <mergeCell ref="M1:O1"/>
    <mergeCell ref="Q1:S1"/>
    <mergeCell ref="H1:K1"/>
    <mergeCell ref="F1:F2"/>
    <mergeCell ref="E1:E2"/>
  </mergeCells>
  <hyperlinks>
    <hyperlink ref="M23" r:id="rId1"/>
    <hyperlink ref="N23" r:id="rId2"/>
  </hyperlinks>
  <pageMargins left="0.7" right="0.7" top="0.75" bottom="0.75" header="0.3" footer="0.3"/>
  <pageSetup orientation="portrait" horizontalDpi="4294967295" verticalDpi="4294967295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Sheet1</vt:lpstr>
      <vt:lpstr>Sheet2</vt:lpstr>
      <vt:lpstr>Sheet3</vt:lpstr>
      <vt:lpstr>Brick</vt:lpstr>
      <vt:lpstr>Brick_Depth</vt:lpstr>
      <vt:lpstr>Brick_height</vt:lpstr>
      <vt:lpstr>Brick_Width</vt:lpstr>
      <vt:lpstr>Courses</vt:lpstr>
      <vt:lpstr>Diameter</vt:lpstr>
      <vt:lpstr>Dome_arc</vt:lpstr>
      <vt:lpstr>Dome_height</vt:lpstr>
      <vt:lpstr>Dome_radius</vt:lpstr>
      <vt:lpstr>Inner_arc</vt:lpstr>
      <vt:lpstr>Inner_arc_angle</vt:lpstr>
      <vt:lpstr>IT</vt:lpstr>
      <vt:lpstr>Joint</vt:lpstr>
      <vt:lpstr>Optimize_cut</vt:lpstr>
      <vt:lpstr>pivot</vt:lpstr>
      <vt:lpstr>Soldier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Oldroyd</dc:creator>
  <cp:lastModifiedBy>Dennis Oldroyd (The Ananya Group LLC)</cp:lastModifiedBy>
  <dcterms:created xsi:type="dcterms:W3CDTF">2012-06-12T18:29:50Z</dcterms:created>
  <dcterms:modified xsi:type="dcterms:W3CDTF">2013-08-06T00:07:14Z</dcterms:modified>
</cp:coreProperties>
</file>