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  <sheet state="visible" name="Sheet2" sheetId="2" r:id="rId4"/>
    <sheet state="visible" name="Sheet3" sheetId="3" r:id="rId5"/>
  </sheets>
  <definedNames>
    <definedName name="IT">Sheet1!$B$11</definedName>
    <definedName name="pivot">Sheet1!$B$4</definedName>
    <definedName name="Brick_Width">Sheet1!$B$7</definedName>
    <definedName name="Brick_Depth">Sheet1!$B$8</definedName>
    <definedName name="Brick">Sheet1!$B$6</definedName>
    <definedName name="Dome_arc">Sheet1!$B$16</definedName>
    <definedName name="Dome_height">Sheet1!$B$12</definedName>
    <definedName name="Joint">Sheet1!$B$9</definedName>
    <definedName name="Inner_arc">Sheet1!$B$15</definedName>
    <definedName name="Soldier">Sheet1!$B$5</definedName>
    <definedName name="Inner_arc_angle">Sheet1!$B$15</definedName>
    <definedName name="Diameter">Sheet1!$B$3</definedName>
    <definedName name="Dome_radius">Sheet1!$B$14</definedName>
    <definedName name="Brick_height">Sheet1!$B$6</definedName>
    <definedName name="Courses">Sheet1!$B$17</definedName>
    <definedName name="Optimize_cut">Sheet1!$B$10</definedName>
  </definedNames>
  <calcPr/>
</workbook>
</file>

<file path=xl/sharedStrings.xml><?xml version="1.0" encoding="utf-8"?>
<sst xmlns="http://schemas.openxmlformats.org/spreadsheetml/2006/main" count="57" uniqueCount="57">
  <si>
    <r>
      <rPr/>
      <t xml:space="preserve">To edit the spreadsheet, use </t>
    </r>
    <r>
      <rPr>
        <i/>
      </rPr>
      <t>File: Make a Copy</t>
    </r>
    <r>
      <rPr/>
      <t xml:space="preserve">, or </t>
    </r>
    <r>
      <rPr>
        <i/>
      </rPr>
      <t>File: Download as Excel</t>
    </r>
    <r>
      <rPr/>
      <t>.   This copy is not editable</t>
    </r>
  </si>
  <si>
    <t>Course Number</t>
  </si>
  <si>
    <t>Brick Count</t>
  </si>
  <si>
    <t>Finished Course Measurements
(inches)</t>
  </si>
  <si>
    <t>Jig Setup 
(see graphic)
(degrees)</t>
  </si>
  <si>
    <t>Cut Brick Dimensions (inches)
(inches)</t>
  </si>
  <si>
    <t>Input oven dimensions all in inches ↓</t>
  </si>
  <si>
    <t>Explanation</t>
  </si>
  <si>
    <t>Inner Radius</t>
  </si>
  <si>
    <t>Outer Radius</t>
  </si>
  <si>
    <t>Inner Height from Pivot</t>
  </si>
  <si>
    <t>Outer Height from Pivot</t>
  </si>
  <si>
    <t>Side Tilt (if using Chipster's Jig)</t>
  </si>
  <si>
    <t>Back Tilt (if using Hendo Jig)</t>
  </si>
  <si>
    <t>Side Angle</t>
  </si>
  <si>
    <t>Inside Bottom</t>
  </si>
  <si>
    <t>Inside Top</t>
  </si>
  <si>
    <t>Outside Bottom</t>
  </si>
  <si>
    <t>Oven size</t>
  </si>
  <si>
    <t>Oven diameter</t>
  </si>
  <si>
    <t>Soldier</t>
  </si>
  <si>
    <t>Distance from IT Pivot to Dome Floor</t>
  </si>
  <si>
    <t>Include thickness of any plywood + any distance of the pivot point from the surface.  Must be less than height of first vertical course for spreadsheet to work!</t>
  </si>
  <si>
    <t>Height of vertical  course(s)</t>
  </si>
  <si>
    <t>Height that any vertical bricks extend above the floor - installed as either  soldiers or sailors.  Top of these bricks is the start of your dome arc.  
Must be greater than Pivot height for the spreadsheet to work!</t>
  </si>
  <si>
    <t>Brick Height</t>
  </si>
  <si>
    <t>Height of the inside facing edge of standard bricks (normally 2.5")</t>
  </si>
  <si>
    <t>Brick Width</t>
  </si>
  <si>
    <t>Width of a standard brick (normally 4.5")</t>
  </si>
  <si>
    <t>Brick Depth</t>
  </si>
  <si>
    <t>Depth of brick that will be the thickness of dome (normally 4.5")</t>
  </si>
  <si>
    <t>Mortar Joint size</t>
  </si>
  <si>
    <t>Default is 1/8"</t>
  </si>
  <si>
    <t>Length of IT (inches)</t>
  </si>
  <si>
    <t>Pivot point to flat end, based on inputs</t>
  </si>
  <si>
    <t>Dome height (inches)</t>
  </si>
  <si>
    <t>Height of inside of dome using a fixed length IT</t>
  </si>
  <si>
    <t>Door height (inches)</t>
  </si>
  <si>
    <t>Recommended door height at 63% of dome height</t>
  </si>
  <si>
    <t>Effective Radius (inches)</t>
  </si>
  <si>
    <t>Diameter of a circle that will give a constant arc for a dome based on  desired dome height and soldier course height</t>
  </si>
  <si>
    <t>Inner Arc Angle</t>
  </si>
  <si>
    <t>Degrees of the circle that form the arc from soldiers to top of dome</t>
  </si>
  <si>
    <t>Inner Arc Length  (inches)</t>
  </si>
  <si>
    <t>Length of arc from dome center to soldier bricks - interior face one side of dome</t>
  </si>
  <si>
    <t>Courses</t>
  </si>
  <si>
    <t>Number of full height courses beyond the soldier to complete dome</t>
  </si>
  <si>
    <t>Plug size (inches)</t>
  </si>
  <si>
    <t>Inner dimensions of the plug, should be less than 2 bricks wide</t>
  </si>
  <si>
    <t>Rough Brick Count (what to order)</t>
  </si>
  <si>
    <t>Dome</t>
  </si>
  <si>
    <t>Not exact, as it assumes hemisphere shape w/out entry arch</t>
  </si>
  <si>
    <t>Floor, bricks on wide edge</t>
  </si>
  <si>
    <t>OR</t>
  </si>
  <si>
    <t>Floor, bricks on narrow edge</t>
  </si>
  <si>
    <t>http://www.fornobravo.com/forum/f28/possible-new-idea-brick-cutting-table-16780.html</t>
  </si>
  <si>
    <t>http://www.fornobravo.com/forum/f28/twist-tilt-2802.html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</si>
</sst>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.0_);_(* \(#,##0.0\);_(* &quot;-&quot;??_);_(@_)"/>
    <numFmt numFmtId="165" formatCode="_(* #,##0_);_(* \(#,##0\);_(* &quot;-&quot;??_);_(@_)"/>
    <numFmt numFmtId="166" formatCode="_(* #,##0.00_);_(* \(#,##0.00\);_(* &quot;-&quot;??_);_(@_)"/>
    <numFmt numFmtId="167" formatCode="_(* #,##0.000_);_(* \(#,##0.000\);_(* &quot;-&quot;??_);_(@_)"/>
  </numFmts>
  <fonts count="10">
    <font>
      <sz val="11.0"/>
      <color rgb="FF000000"/>
      <name val="Calibri"/>
    </font>
    <font>
      <b/>
      <sz val="14.0"/>
      <color rgb="FF000000"/>
      <name val="Calibri"/>
    </font>
    <font>
      <sz val="14.0"/>
      <color rgb="FF000000"/>
      <name val="Calibri"/>
    </font>
    <font/>
    <font>
      <b/>
      <sz val="11.0"/>
      <color rgb="FF000000"/>
      <name val="Calibri"/>
    </font>
    <font>
      <b/>
      <sz val="11.0"/>
      <color rgb="FF000000"/>
      <name val="Arial"/>
    </font>
    <font>
      <sz val="11.0"/>
      <color rgb="FF000000"/>
      <name val="Arial"/>
    </font>
    <font>
      <b/>
      <u/>
      <sz val="11.0"/>
      <color rgb="FF000000"/>
      <name val="Calibri"/>
    </font>
    <font>
      <u/>
      <sz val="11.0"/>
      <color rgb="FF0000FF"/>
      <name val="Arial"/>
    </font>
    <font>
      <u/>
      <sz val="11.0"/>
      <color rgb="FF0000FF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 shrinkToFit="0" vertical="center" wrapText="1"/>
    </xf>
    <xf borderId="0" fillId="0" fontId="2" numFmtId="0" xfId="0" applyAlignment="1" applyFont="1">
      <alignment shrinkToFit="0" wrapText="0"/>
    </xf>
    <xf borderId="1" fillId="0" fontId="1" numFmtId="164" xfId="0" applyAlignment="1" applyBorder="1" applyFont="1" applyNumberFormat="1">
      <alignment horizontal="center" shrinkToFit="0" vertical="center" wrapText="1"/>
    </xf>
    <xf borderId="0" fillId="0" fontId="1" numFmtId="165" xfId="0" applyAlignment="1" applyFont="1" applyNumberFormat="1">
      <alignment shrinkToFit="0" wrapText="0"/>
    </xf>
    <xf borderId="2" fillId="0" fontId="1" numFmtId="0" xfId="0" applyAlignment="1" applyBorder="1" applyFont="1">
      <alignment horizontal="center" shrinkToFit="0" wrapText="1"/>
    </xf>
    <xf borderId="3" fillId="0" fontId="3" numFmtId="0" xfId="0" applyBorder="1" applyFont="1"/>
    <xf borderId="4" fillId="0" fontId="3" numFmtId="0" xfId="0" applyBorder="1" applyFont="1"/>
    <xf borderId="0" fillId="0" fontId="1" numFmtId="164" xfId="0" applyAlignment="1" applyFont="1" applyNumberFormat="1">
      <alignment horizontal="center" shrinkToFit="0" wrapText="0"/>
    </xf>
    <xf borderId="2" fillId="0" fontId="1" numFmtId="164" xfId="0" applyAlignment="1" applyBorder="1" applyFont="1" applyNumberFormat="1">
      <alignment horizontal="center" shrinkToFit="0" wrapText="1"/>
    </xf>
    <xf borderId="0" fillId="0" fontId="4" numFmtId="0" xfId="0" applyAlignment="1" applyFont="1">
      <alignment horizontal="right" shrinkToFit="0" vertical="top" wrapText="1"/>
    </xf>
    <xf borderId="0" fillId="0" fontId="4" numFmtId="166" xfId="0" applyAlignment="1" applyFont="1" applyNumberFormat="1">
      <alignment horizontal="center" shrinkToFit="0" wrapText="1"/>
    </xf>
    <xf borderId="0" fillId="0" fontId="4" numFmtId="0" xfId="0" applyAlignment="1" applyFont="1">
      <alignment shrinkToFit="0" vertical="bottom" wrapText="1"/>
    </xf>
    <xf borderId="0" fillId="0" fontId="4" numFmtId="0" xfId="0" applyAlignment="1" applyFont="1">
      <alignment shrinkToFit="0" wrapText="1"/>
    </xf>
    <xf borderId="5" fillId="0" fontId="3" numFmtId="0" xfId="0" applyBorder="1" applyFont="1"/>
    <xf borderId="0" fillId="0" fontId="4" numFmtId="165" xfId="0" applyAlignment="1" applyFont="1" applyNumberFormat="1">
      <alignment horizontal="center" shrinkToFit="0" wrapText="1"/>
    </xf>
    <xf borderId="6" fillId="0" fontId="4" numFmtId="0" xfId="0" applyAlignment="1" applyBorder="1" applyFont="1">
      <alignment horizontal="center" shrinkToFit="0" wrapText="1"/>
    </xf>
    <xf borderId="6" fillId="0" fontId="4" numFmtId="0" xfId="0" applyAlignment="1" applyBorder="1" applyFont="1">
      <alignment horizontal="center" shrinkToFit="0" wrapText="1"/>
    </xf>
    <xf borderId="6" fillId="0" fontId="4" numFmtId="164" xfId="0" applyAlignment="1" applyBorder="1" applyFont="1" applyNumberFormat="1">
      <alignment horizontal="center" shrinkToFit="0" wrapText="1"/>
    </xf>
    <xf borderId="0" fillId="0" fontId="4" numFmtId="164" xfId="0" applyAlignment="1" applyFont="1" applyNumberFormat="1">
      <alignment horizontal="center" shrinkToFit="0" wrapText="1"/>
    </xf>
    <xf borderId="6" fillId="0" fontId="5" numFmtId="164" xfId="0" applyAlignment="1" applyBorder="1" applyFont="1" applyNumberFormat="1">
      <alignment horizontal="center" readingOrder="0" shrinkToFit="0" wrapText="1"/>
    </xf>
    <xf borderId="0" fillId="0" fontId="4" numFmtId="0" xfId="0" applyAlignment="1" applyFont="1">
      <alignment horizontal="center" shrinkToFit="0" wrapText="1"/>
    </xf>
    <xf borderId="0" fillId="0" fontId="4" numFmtId="0" xfId="0" applyAlignment="1" applyFont="1">
      <alignment horizontal="right" shrinkToFit="0" vertical="center" wrapText="1"/>
    </xf>
    <xf borderId="6" fillId="3" fontId="6" numFmtId="166" xfId="0" applyAlignment="1" applyBorder="1" applyFill="1" applyFont="1" applyNumberFormat="1">
      <alignment readingOrder="0" shrinkToFit="0" vertical="center" wrapText="0"/>
    </xf>
    <xf borderId="0" fillId="0" fontId="0" numFmtId="0" xfId="0" applyAlignment="1" applyFont="1">
      <alignment shrinkToFit="0" vertical="center" wrapText="1"/>
    </xf>
    <xf borderId="0" fillId="0" fontId="0" numFmtId="0" xfId="0" applyAlignment="1" applyFont="1">
      <alignment shrinkToFit="0" wrapText="0"/>
    </xf>
    <xf borderId="6" fillId="0" fontId="1" numFmtId="165" xfId="0" applyAlignment="1" applyBorder="1" applyFont="1" applyNumberFormat="1">
      <alignment horizontal="right" shrinkToFit="0" wrapText="0"/>
    </xf>
    <xf borderId="6" fillId="0" fontId="0" numFmtId="164" xfId="0" applyAlignment="1" applyBorder="1" applyFont="1" applyNumberFormat="1">
      <alignment shrinkToFit="0" wrapText="0"/>
    </xf>
    <xf borderId="0" fillId="0" fontId="1" numFmtId="165" xfId="0" applyAlignment="1" applyFont="1" applyNumberFormat="1">
      <alignment horizontal="right" shrinkToFit="0" wrapText="0"/>
    </xf>
    <xf borderId="6" fillId="0" fontId="0" numFmtId="164" xfId="0" applyAlignment="1" applyBorder="1" applyFont="1" applyNumberFormat="1">
      <alignment shrinkToFit="0" wrapText="0"/>
    </xf>
    <xf borderId="0" fillId="0" fontId="0" numFmtId="164" xfId="0" applyAlignment="1" applyFont="1" applyNumberFormat="1">
      <alignment shrinkToFit="0" wrapText="0"/>
    </xf>
    <xf borderId="6" fillId="0" fontId="0" numFmtId="166" xfId="0" applyAlignment="1" applyBorder="1" applyFont="1" applyNumberFormat="1">
      <alignment shrinkToFit="0" wrapText="0"/>
    </xf>
    <xf borderId="6" fillId="3" fontId="0" numFmtId="166" xfId="0" applyAlignment="1" applyBorder="1" applyFont="1" applyNumberFormat="1">
      <alignment readingOrder="0" shrinkToFit="0" vertical="center" wrapText="0"/>
    </xf>
    <xf borderId="6" fillId="3" fontId="0" numFmtId="166" xfId="0" applyAlignment="1" applyBorder="1" applyFont="1" applyNumberFormat="1">
      <alignment horizontal="right" shrinkToFit="0" vertical="center" wrapText="0"/>
    </xf>
    <xf borderId="6" fillId="3" fontId="0" numFmtId="166" xfId="0" applyAlignment="1" applyBorder="1" applyFont="1" applyNumberFormat="1">
      <alignment shrinkToFit="0" wrapText="0"/>
    </xf>
    <xf borderId="6" fillId="3" fontId="0" numFmtId="166" xfId="0" applyAlignment="1" applyBorder="1" applyFont="1" applyNumberFormat="1">
      <alignment shrinkToFit="0" vertical="center" wrapText="0"/>
    </xf>
    <xf borderId="0" fillId="0" fontId="0" numFmtId="0" xfId="0" applyAlignment="1" applyFont="1">
      <alignment shrinkToFit="0" vertical="center" wrapText="0"/>
    </xf>
    <xf borderId="6" fillId="3" fontId="0" numFmtId="167" xfId="0" applyAlignment="1" applyBorder="1" applyFont="1" applyNumberFormat="1">
      <alignment shrinkToFit="0" vertical="center" wrapText="0"/>
    </xf>
    <xf borderId="0" fillId="0" fontId="0" numFmtId="166" xfId="0" applyAlignment="1" applyFont="1" applyNumberFormat="1">
      <alignment shrinkToFit="0" vertical="center" wrapText="0"/>
    </xf>
    <xf borderId="0" fillId="0" fontId="0" numFmtId="164" xfId="0" applyAlignment="1" applyFont="1" applyNumberFormat="1">
      <alignment horizontal="right" shrinkToFit="0" vertical="center" wrapText="0"/>
    </xf>
    <xf borderId="0" fillId="0" fontId="0" numFmtId="164" xfId="0" applyAlignment="1" applyFont="1" applyNumberFormat="1">
      <alignment shrinkToFit="0" vertical="center" wrapText="0"/>
    </xf>
    <xf borderId="0" fillId="0" fontId="7" numFmtId="0" xfId="0" applyAlignment="1" applyFont="1">
      <alignment horizontal="left" shrinkToFit="0" vertical="center" wrapText="1"/>
    </xf>
    <xf borderId="0" fillId="0" fontId="0" numFmtId="165" xfId="0" applyAlignment="1" applyFont="1" applyNumberFormat="1">
      <alignment shrinkToFit="0" vertical="center" wrapText="0"/>
    </xf>
    <xf borderId="0" fillId="0" fontId="4" numFmtId="165" xfId="0" applyAlignment="1" applyFont="1" applyNumberFormat="1">
      <alignment shrinkToFit="0" wrapText="0"/>
    </xf>
    <xf borderId="0" fillId="0" fontId="8" numFmtId="164" xfId="0" applyAlignment="1" applyFont="1" applyNumberFormat="1">
      <alignment readingOrder="0" shrinkToFit="0" wrapText="0"/>
    </xf>
    <xf borderId="0" fillId="0" fontId="9" numFmtId="164" xfId="0" applyAlignment="1" applyFont="1" applyNumberForma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24</xdr:row>
      <xdr:rowOff>0</xdr:rowOff>
    </xdr:from>
    <xdr:ext cx="6238875" cy="39909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fornobravo.com/forum/f28/possible-new-idea-brick-cutting-table-16780.html" TargetMode="External"/><Relationship Id="rId2" Type="http://schemas.openxmlformats.org/officeDocument/2006/relationships/hyperlink" Target="http://www.fornobravo.com/forum/f28/twist-tilt-2802.html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75"/>
  <cols>
    <col customWidth="1" min="1" max="1" width="25.86"/>
    <col customWidth="1" min="2" max="2" width="13.43"/>
    <col customWidth="1" min="3" max="3" width="80.14"/>
    <col customWidth="1" min="4" max="4" width="4.43"/>
    <col customWidth="1" min="5" max="5" width="10.43"/>
    <col customWidth="1" min="6" max="6" width="9.14"/>
    <col customWidth="1" min="7" max="7" width="5.57"/>
    <col customWidth="1" min="8" max="8" width="9.57"/>
    <col customWidth="1" min="9" max="10" width="8.71"/>
    <col customWidth="1" min="11" max="11" width="9.14"/>
    <col customWidth="1" min="12" max="12" width="3.14"/>
    <col customWidth="1" min="13" max="14" width="9.86"/>
    <col customWidth="1" min="15" max="15" width="9.14"/>
    <col customWidth="1" min="16" max="16" width="3.14"/>
    <col customWidth="1" min="17" max="17" width="9.14"/>
    <col customWidth="1" hidden="1" min="18" max="18" width="9.14"/>
    <col customWidth="1" min="19" max="19" width="8.71"/>
  </cols>
  <sheetData>
    <row r="1" ht="54.0" customHeight="1">
      <c r="A1" s="1" t="s">
        <v>0</v>
      </c>
      <c r="D1" s="2"/>
      <c r="E1" s="3" t="s">
        <v>1</v>
      </c>
      <c r="F1" s="3" t="s">
        <v>2</v>
      </c>
      <c r="G1" s="4"/>
      <c r="H1" s="5" t="s">
        <v>3</v>
      </c>
      <c r="I1" s="6"/>
      <c r="J1" s="6"/>
      <c r="K1" s="7"/>
      <c r="L1" s="8"/>
      <c r="M1" s="9" t="s">
        <v>4</v>
      </c>
      <c r="N1" s="6"/>
      <c r="O1" s="7"/>
      <c r="P1" s="2"/>
      <c r="Q1" s="9" t="s">
        <v>5</v>
      </c>
      <c r="R1" s="6"/>
      <c r="S1" s="7"/>
    </row>
    <row r="2" ht="57.0" customHeight="1">
      <c r="A2" s="10"/>
      <c r="B2" s="11" t="s">
        <v>6</v>
      </c>
      <c r="C2" s="12" t="s">
        <v>7</v>
      </c>
      <c r="D2" s="13"/>
      <c r="E2" s="14"/>
      <c r="F2" s="14"/>
      <c r="G2" s="15"/>
      <c r="H2" s="16" t="s">
        <v>8</v>
      </c>
      <c r="I2" s="17" t="s">
        <v>9</v>
      </c>
      <c r="J2" s="17" t="s">
        <v>10</v>
      </c>
      <c r="K2" s="18" t="s">
        <v>11</v>
      </c>
      <c r="L2" s="19"/>
      <c r="M2" s="18" t="s">
        <v>12</v>
      </c>
      <c r="N2" s="20" t="s">
        <v>13</v>
      </c>
      <c r="O2" s="18" t="s">
        <v>14</v>
      </c>
      <c r="P2" s="21"/>
      <c r="Q2" s="18" t="s">
        <v>15</v>
      </c>
      <c r="R2" s="18" t="s">
        <v>16</v>
      </c>
      <c r="S2" s="17" t="s">
        <v>17</v>
      </c>
    </row>
    <row r="3" ht="18.0" customHeight="1">
      <c r="A3" s="22" t="s">
        <v>18</v>
      </c>
      <c r="B3" s="23">
        <v>39.0</v>
      </c>
      <c r="C3" s="24" t="s">
        <v>19</v>
      </c>
      <c r="D3" s="25"/>
      <c r="E3" s="26" t="s">
        <v>20</v>
      </c>
      <c r="F3" s="27">
        <f>ROUND(PI()*(I3*2)/(S3+Joint),1)</f>
        <v>32.6</v>
      </c>
      <c r="G3" s="28"/>
      <c r="H3" s="29">
        <f>Diameter/2</f>
        <v>19.5</v>
      </c>
      <c r="I3" s="27">
        <f>(Diameter/2+Brick_Depth)</f>
        <v>24</v>
      </c>
      <c r="J3" s="27">
        <f>Soldier-pivot</f>
        <v>2.5</v>
      </c>
      <c r="K3" s="27">
        <f>Soldier-pivot</f>
        <v>2.5</v>
      </c>
      <c r="L3" s="30"/>
      <c r="M3" s="27">
        <v>0.0</v>
      </c>
      <c r="N3" s="27">
        <v>0.0</v>
      </c>
      <c r="O3" s="27">
        <f>90-DEGREES(ATAN(Brick_Depth/((S3-Q3)/2)))</f>
        <v>5.500325015</v>
      </c>
      <c r="P3" s="25"/>
      <c r="Q3" s="31">
        <f>PI()*H3*2/F3-Joint</f>
        <v>3.63334704</v>
      </c>
      <c r="R3" s="31"/>
      <c r="S3" s="31">
        <f>Brick_Width</f>
        <v>4.5</v>
      </c>
    </row>
    <row r="4" ht="28.5" customHeight="1">
      <c r="A4" s="22" t="s">
        <v>21</v>
      </c>
      <c r="B4" s="32">
        <v>0.0</v>
      </c>
      <c r="C4" s="24" t="s">
        <v>22</v>
      </c>
      <c r="D4" s="25"/>
      <c r="E4" s="26">
        <v>1.0</v>
      </c>
      <c r="F4" s="27">
        <f>IF(E4&gt;0,ROUND(PI()*(I3*2)/(S4+Joint),1),0)</f>
        <v>32.6</v>
      </c>
      <c r="G4" s="28"/>
      <c r="H4" s="29">
        <f>IF(E4&gt;0,IT*SIN(RADIANS(90-N4)),0)</f>
        <v>19.30174873</v>
      </c>
      <c r="I4" s="27">
        <f>IF(E4&gt;0,(IT+Brick_Depth)*SIN(RADIANS(90-N4)),0)</f>
        <v>23.71983734</v>
      </c>
      <c r="J4" s="27">
        <f>IF(E4&gt;0,IT*COS(RADIANS(90-N4)),0)</f>
        <v>3.733965199</v>
      </c>
      <c r="K4" s="27">
        <f>IF(E4&gt;0,(IT+Brick_Depth)*COS(RADIANS(90-N4)),0)</f>
        <v>4.588654033</v>
      </c>
      <c r="L4" s="30"/>
      <c r="M4" s="27">
        <f>90-DEGREES(ATAN(Brick/(2*PI()*(I4-I5)/(F4*2))))</f>
        <v>1.707765463</v>
      </c>
      <c r="N4" s="27">
        <f>90-Inner_arc+Brick/Dome_arc*Inner_arc/2</f>
        <v>10.94874884</v>
      </c>
      <c r="O4" s="27">
        <f>IF(E4&gt;0,90-DEGREES(ATAN(Brick_Depth/((S4-Q4)/2))),0)</f>
        <v>5.500325015</v>
      </c>
      <c r="P4" s="25"/>
      <c r="Q4" s="31">
        <f>IF(E4&gt;0,PI()*H3*2/F4-Joint,0)</f>
        <v>3.63334704</v>
      </c>
      <c r="R4" s="31"/>
      <c r="S4" s="31">
        <f>S3</f>
        <v>4.5</v>
      </c>
    </row>
    <row r="5" ht="42.75" customHeight="1">
      <c r="A5" s="22" t="s">
        <v>23</v>
      </c>
      <c r="B5" s="33">
        <v>2.5</v>
      </c>
      <c r="C5" s="24" t="s">
        <v>24</v>
      </c>
      <c r="D5" s="25"/>
      <c r="E5" s="26">
        <v>2.0</v>
      </c>
      <c r="F5" s="27">
        <f>IF(E5&gt;0,ROUND(PI()*(I4*2)/(S5+Joint),1),0)</f>
        <v>32.2</v>
      </c>
      <c r="G5" s="28"/>
      <c r="H5" s="29">
        <f>IF(E5&gt;0,IT*SIN(RADIANS(90-N5)),0)</f>
        <v>18.67234847</v>
      </c>
      <c r="I5" s="27">
        <f>IF(E5&gt;0,(IT+Brick_Depth)*SIN(RADIANS(90-N5)),0)</f>
        <v>22.94637002</v>
      </c>
      <c r="J5" s="27">
        <f>IF(E5&gt;0,IT*COS(RADIANS(90-N5)),0)</f>
        <v>6.151699175</v>
      </c>
      <c r="K5" s="27">
        <f>IF(E5&gt;0,(IT+Brick_Depth)*COS(RADIANS(90-N5)),0)</f>
        <v>7.559797087</v>
      </c>
      <c r="L5" s="30"/>
      <c r="M5" s="27">
        <f>IF(E5&gt;0,90-DEGREES(ATAN(Brick/(2*PI()*(I5-I6)/(F5*2)))),0)</f>
        <v>2.556377079</v>
      </c>
      <c r="N5" s="27">
        <f>IF(E5&gt;0,Brick/Dome_arc*Inner_arc_angle+N4,0)</f>
        <v>18.23472745</v>
      </c>
      <c r="O5" s="27">
        <f>IF(E5&gt;0,90-DEGREES(ATAN(Brick_Depth/((S5-Q5)/2))),0)</f>
        <v>5.44984158</v>
      </c>
      <c r="P5" s="25"/>
      <c r="Q5" s="31">
        <f>IF(E5&gt;0,PI()*H4*2/F5-Joint,0)</f>
        <v>3.641349814</v>
      </c>
      <c r="R5" s="31"/>
      <c r="S5" s="34">
        <f t="shared" ref="S5:S6" si="1">IF(E5&gt;0,S4,0)</f>
        <v>4.5</v>
      </c>
    </row>
    <row r="6" ht="18.0" customHeight="1">
      <c r="A6" s="22" t="s">
        <v>25</v>
      </c>
      <c r="B6" s="35">
        <v>2.5</v>
      </c>
      <c r="C6" s="36" t="s">
        <v>26</v>
      </c>
      <c r="D6" s="25"/>
      <c r="E6" s="26">
        <f>IF(MAX(E$4:E5)&lt;Courses,E5+1,0)</f>
        <v>3</v>
      </c>
      <c r="F6" s="27">
        <f>IF(E6&gt;0,ROUND(PI()*(I5*2)/(S6+Joint),1),0)</f>
        <v>31.2</v>
      </c>
      <c r="G6" s="28"/>
      <c r="H6" s="29">
        <f>IF(E6&gt;0,IT*SIN(RADIANS(90-N6)),0)</f>
        <v>17.74140875</v>
      </c>
      <c r="I6" s="27">
        <f>IF(E6&gt;0,(IT+Brick_Depth)*SIN(RADIANS(90-N6)),0)</f>
        <v>21.80234215</v>
      </c>
      <c r="J6" s="27">
        <f>IF(E6&gt;0,IT*COS(RADIANS(90-N6)),0)</f>
        <v>8.47008946</v>
      </c>
      <c r="K6" s="27">
        <f>IF(E6&gt;0,(IT+Brick_Depth)*COS(RADIANS(90-N6)),0)</f>
        <v>10.4088571</v>
      </c>
      <c r="L6" s="30"/>
      <c r="M6" s="27">
        <f>IF(E6&gt;0,90-DEGREES(ATAN(Brick/(2*PI()*(I6-I7)/(F6*2)))),0)</f>
        <v>3.448399916</v>
      </c>
      <c r="N6" s="27">
        <f>IF(E6&gt;0,Brick/Dome_arc*Inner_arc_angle+N5,0)</f>
        <v>25.52070606</v>
      </c>
      <c r="O6" s="27">
        <f>IF(E6&gt;0,90-DEGREES(ATAN(Brick_Depth/((S6-Q6)/2))),0)</f>
        <v>5.487911934</v>
      </c>
      <c r="P6" s="25"/>
      <c r="Q6" s="31">
        <f>IF(E6&gt;0,PI()*H5*2/F6-Joint,0)</f>
        <v>3.635314921</v>
      </c>
      <c r="R6" s="31"/>
      <c r="S6" s="34">
        <f t="shared" si="1"/>
        <v>4.5</v>
      </c>
    </row>
    <row r="7" ht="18.0" customHeight="1">
      <c r="A7" s="22" t="s">
        <v>27</v>
      </c>
      <c r="B7" s="35">
        <v>4.5</v>
      </c>
      <c r="C7" s="36" t="s">
        <v>28</v>
      </c>
      <c r="D7" s="25"/>
      <c r="E7" s="26">
        <f>IF(MAX(E$4:E6)&lt;Courses,E6+1,0)</f>
        <v>4</v>
      </c>
      <c r="F7" s="27">
        <f>IF(E7&gt;0,ROUND(PI()*(I6*2)/(S7+Joint),1),0)</f>
        <v>33.2</v>
      </c>
      <c r="G7" s="28"/>
      <c r="H7" s="29">
        <f>IF(E7&gt;0,IT*SIN(RADIANS(90-N7)),0)</f>
        <v>16.52396332</v>
      </c>
      <c r="I7" s="27">
        <f>IF(E7&gt;0,(IT+Brick_Depth)*SIN(RADIANS(90-N7)),0)</f>
        <v>20.3062286</v>
      </c>
      <c r="J7" s="27">
        <f>IF(E7&gt;0,IT*COS(RADIANS(90-N7)),0)</f>
        <v>10.65169641</v>
      </c>
      <c r="K7" s="27">
        <f>IF(E7&gt;0,(IT+Brick_Depth)*COS(RADIANS(90-N7)),0)</f>
        <v>13.08982465</v>
      </c>
      <c r="L7" s="30"/>
      <c r="M7" s="27">
        <f>IF(E7&gt;0,90-DEGREES(ATAN(Brick/(2*PI()*(I7-I8)/(F7*2)))),0)</f>
        <v>3.949478876</v>
      </c>
      <c r="N7" s="27">
        <f>IF(E7&gt;0,Brick/Dome_arc*Inner_arc_angle+N6,0)</f>
        <v>32.80668467</v>
      </c>
      <c r="O7" s="27">
        <f>IF(E7&gt;0,90-DEGREES(ATAN(Brick_Depth/((S7-Q7)/2))),0)</f>
        <v>4.873586393</v>
      </c>
      <c r="P7" s="25"/>
      <c r="Q7" s="31">
        <f>IF(E7&gt;0,PI()*H6*2/F7-Joint,0)</f>
        <v>3.232607193</v>
      </c>
      <c r="R7" s="31"/>
      <c r="S7" s="34">
        <v>4.0</v>
      </c>
    </row>
    <row r="8" ht="18.0" customHeight="1">
      <c r="A8" s="22" t="s">
        <v>29</v>
      </c>
      <c r="B8" s="35">
        <v>4.5</v>
      </c>
      <c r="C8" s="36" t="s">
        <v>30</v>
      </c>
      <c r="D8" s="25"/>
      <c r="E8" s="26">
        <f>IF(MAX(E$4:E7)&lt;Courses,E7+1,0)</f>
        <v>5</v>
      </c>
      <c r="F8" s="27">
        <f>IF(E8&gt;0,ROUND(PI()*(I7*2)/(S8+Joint),1),0)</f>
        <v>30.9</v>
      </c>
      <c r="G8" s="28"/>
      <c r="H8" s="29">
        <f>IF(E8&gt;0,IT*SIN(RADIANS(90-N8)),0)</f>
        <v>15.03967266</v>
      </c>
      <c r="I8" s="27">
        <f>IF(E8&gt;0,(IT+Brick_Depth)*SIN(RADIANS(90-N8)),0)</f>
        <v>18.4821901</v>
      </c>
      <c r="J8" s="27">
        <f>IF(E8&gt;0,IT*COS(RADIANS(90-N8)),0)</f>
        <v>12.66128928</v>
      </c>
      <c r="K8" s="27">
        <f>IF(E8&gt;0,(IT+Brick_Depth)*COS(RADIANS(90-N8)),0)</f>
        <v>15.55940482</v>
      </c>
      <c r="L8" s="30"/>
      <c r="M8" s="27">
        <f>IF(E8&gt;0,90-DEGREES(ATAN(Brick/(2*PI()*(I8-I9)/(F8*2)))),0)</f>
        <v>4.933419261</v>
      </c>
      <c r="N8" s="27">
        <f>IF(E8&gt;0,Brick/Dome_arc*Inner_arc_angle+N7,0)</f>
        <v>40.09266328</v>
      </c>
      <c r="O8" s="27">
        <f>IF(E8&gt;0,90-DEGREES(ATAN(Brick_Depth/((S8-Q8)/2))),0)</f>
        <v>4.858642201</v>
      </c>
      <c r="P8" s="25"/>
      <c r="Q8" s="31">
        <f>IF(E8&gt;0,PI()*H7*2/F8-Joint,0)</f>
        <v>3.234971635</v>
      </c>
      <c r="R8" s="31"/>
      <c r="S8" s="34">
        <v>4.0</v>
      </c>
    </row>
    <row r="9" ht="18.0" customHeight="1">
      <c r="A9" s="22" t="s">
        <v>31</v>
      </c>
      <c r="B9" s="37">
        <v>0.125</v>
      </c>
      <c r="C9" s="36" t="s">
        <v>32</v>
      </c>
      <c r="D9" s="25"/>
      <c r="E9" s="26">
        <f>IF(MAX(E$4:E8)&lt;Courses,E8+1,0)</f>
        <v>6</v>
      </c>
      <c r="F9" s="27">
        <f>IF(E9&gt;0,ROUND(PI()*(I8*2)/(S9+Joint),1),0)</f>
        <v>28.2</v>
      </c>
      <c r="G9" s="28"/>
      <c r="H9" s="29">
        <f>IF(E9&gt;0,IT*SIN(RADIANS(90-N9)),0)</f>
        <v>13.31250657</v>
      </c>
      <c r="I9" s="27">
        <f>IF(E9&gt;0,(IT+Brick_Depth)*SIN(RADIANS(90-N9)),0)</f>
        <v>16.359683</v>
      </c>
      <c r="J9" s="27">
        <f>IF(E9&gt;0,IT*COS(RADIANS(90-N9)),0)</f>
        <v>14.4664152</v>
      </c>
      <c r="K9" s="27">
        <f>IF(E9&gt;0,(IT+Brick_Depth)*COS(RADIANS(90-N9)),0)</f>
        <v>17.77771643</v>
      </c>
      <c r="L9" s="30"/>
      <c r="M9" s="27">
        <f>IF(E9&gt;0,90-DEGREES(ATAN(Brick/(2*PI()*(I9-I10)/(F9*2)))),0)</f>
        <v>6.070879034</v>
      </c>
      <c r="N9" s="27">
        <f>IF(E9&gt;0,Brick/Dome_arc*Inner_arc_angle+N8,0)</f>
        <v>47.37864189</v>
      </c>
      <c r="O9" s="27">
        <f>IF(E9&gt;0,90-DEGREES(ATAN(Brick_Depth/((S9-Q9)/2))),0)</f>
        <v>4.915600531</v>
      </c>
      <c r="P9" s="25"/>
      <c r="Q9" s="31">
        <f>IF(E9&gt;0,PI()*H8*2/F9-Joint,0)</f>
        <v>3.22595923</v>
      </c>
      <c r="R9" s="31"/>
      <c r="S9" s="34">
        <f t="shared" ref="S9:S22" si="2">IF(E9&gt;0,S8,0)</f>
        <v>4</v>
      </c>
    </row>
    <row r="10" ht="18.0" customHeight="1">
      <c r="A10" s="22"/>
      <c r="B10" s="38"/>
      <c r="C10" s="24"/>
      <c r="D10" s="25"/>
      <c r="E10" s="26">
        <f>IF(MAX(E$4:E9)&lt;Courses,E9+1,0)</f>
        <v>7</v>
      </c>
      <c r="F10" s="27">
        <f>IF(E10&gt;0,ROUND(PI()*(I9*2)/(S10+Joint),1),0)</f>
        <v>24.9</v>
      </c>
      <c r="G10" s="28"/>
      <c r="H10" s="29">
        <f>IF(E10&gt;0,IT*SIN(RADIANS(90-N10)),0)</f>
        <v>11.37035703</v>
      </c>
      <c r="I10" s="27">
        <f>IF(E10&gt;0,(IT+Brick_Depth)*SIN(RADIANS(90-N10)),0)</f>
        <v>13.97298365</v>
      </c>
      <c r="J10" s="27">
        <f>IF(E10&gt;0,IT*COS(RADIANS(90-N10)),0)</f>
        <v>16.03792321</v>
      </c>
      <c r="K10" s="27">
        <f>IF(E10&gt;0,(IT+Brick_Depth)*COS(RADIANS(90-N10)),0)</f>
        <v>19.70893597</v>
      </c>
      <c r="L10" s="30"/>
      <c r="M10" s="27">
        <f>IF(E10&gt;0,90-DEGREES(ATAN(Brick/(2*PI()*(I10-I11)/(F10*2)))),0)</f>
        <v>7.510465652</v>
      </c>
      <c r="N10" s="27">
        <f>IF(E10&gt;0,Brick/Dome_arc*Inner_arc_angle+N9,0)</f>
        <v>54.6646205</v>
      </c>
      <c r="O10" s="27">
        <f>IF(E10&gt;0,90-DEGREES(ATAN(Brick_Depth/((S10-Q10)/2))),0)</f>
        <v>4.86329956</v>
      </c>
      <c r="P10" s="25"/>
      <c r="Q10" s="31">
        <f>IF(E10&gt;0,PI()*H9*2/F10-Joint,0)</f>
        <v>3.234234768</v>
      </c>
      <c r="R10" s="31"/>
      <c r="S10" s="34">
        <f t="shared" si="2"/>
        <v>4</v>
      </c>
    </row>
    <row r="11" ht="18.0" customHeight="1">
      <c r="A11" s="22" t="s">
        <v>33</v>
      </c>
      <c r="B11" s="39">
        <f>((Diameter/2)^2+(Soldier-pivot)^2)^0.5</f>
        <v>19.65960325</v>
      </c>
      <c r="C11" s="24" t="s">
        <v>34</v>
      </c>
      <c r="D11" s="25"/>
      <c r="E11" s="26">
        <f>IF(MAX(E$4:E10)&lt;Courses,E10+1,0)</f>
        <v>8</v>
      </c>
      <c r="F11" s="27">
        <f>IF(E11&gt;0,ROUND(PI()*(I10*2)/(S11+Joint),1),0)</f>
        <v>21.3</v>
      </c>
      <c r="G11" s="28"/>
      <c r="H11" s="29">
        <f>IF(E11&gt;0,IT*SIN(RADIANS(90-N11)),0)</f>
        <v>9.244587783</v>
      </c>
      <c r="I11" s="27">
        <f>IF(E11&gt;0,(IT+Brick_Depth)*SIN(RADIANS(90-N11)),0)</f>
        <v>11.36063481</v>
      </c>
      <c r="J11" s="27">
        <f>IF(E11&gt;0,IT*COS(RADIANS(90-N11)),0)</f>
        <v>17.35043506</v>
      </c>
      <c r="K11" s="27">
        <f>IF(E11&gt;0,(IT+Brick_Depth)*COS(RADIANS(90-N11)),0)</f>
        <v>21.32187623</v>
      </c>
      <c r="L11" s="30"/>
      <c r="M11" s="27">
        <f>IF(E11&gt;0,90-DEGREES(ATAN(Brick/(2*PI()*(I11-I12)/(F11*2)))),0)</f>
        <v>9.36629613</v>
      </c>
      <c r="N11" s="27">
        <f>IF(E11&gt;0,Brick/Dome_arc*Inner_arc_angle+N10,0)</f>
        <v>61.95059911</v>
      </c>
      <c r="O11" s="27">
        <f>IF(E11&gt;0,90-DEGREES(ATAN(Brick_Depth/((S11-Q11)/2))),0)</f>
        <v>4.895832023</v>
      </c>
      <c r="P11" s="25"/>
      <c r="Q11" s="31">
        <f>IF(E11&gt;0,PI()*H10*2/F11-Joint,0)</f>
        <v>3.229087336</v>
      </c>
      <c r="R11" s="31"/>
      <c r="S11" s="34">
        <f t="shared" si="2"/>
        <v>4</v>
      </c>
    </row>
    <row r="12" ht="18.0" customHeight="1">
      <c r="A12" s="22" t="s">
        <v>35</v>
      </c>
      <c r="B12" s="39">
        <f>pivot+IT</f>
        <v>19.65960325</v>
      </c>
      <c r="C12" s="24" t="s">
        <v>36</v>
      </c>
      <c r="D12" s="25"/>
      <c r="E12" s="26">
        <f>IF(MAX(E$4:E11)&lt;Courses,E11+1,0)</f>
        <v>9</v>
      </c>
      <c r="F12" s="27">
        <f>IF(E12&gt;0,ROUND(PI()*(I11*2)/(S12+Joint),1),0)</f>
        <v>17.3</v>
      </c>
      <c r="G12" s="28"/>
      <c r="H12" s="29">
        <f>IF(E12&gt;0,IT*SIN(RADIANS(90-N12)),0)</f>
        <v>6.969527832</v>
      </c>
      <c r="I12" s="27">
        <f>IF(E12&gt;0,(IT+Brick_Depth)*SIN(RADIANS(90-N12)),0)</f>
        <v>8.564823263</v>
      </c>
      <c r="J12" s="27">
        <f>IF(E12&gt;0,IT*COS(RADIANS(90-N12)),0)</f>
        <v>18.38275501</v>
      </c>
      <c r="K12" s="27">
        <f>IF(E12&gt;0,(IT+Brick_Depth)*COS(RADIANS(90-N12)),0)</f>
        <v>22.59048985</v>
      </c>
      <c r="L12" s="30"/>
      <c r="M12" s="27">
        <f>IF(E12&gt;0,90-DEGREES(ATAN(Brick/(2*PI()*(I12-I13)/(F12*2)))),0)</f>
        <v>12.03137113</v>
      </c>
      <c r="N12" s="27">
        <f>IF(E12&gt;0,Brick/Dome_arc*Inner_arc_angle+N11,0)</f>
        <v>69.23657772</v>
      </c>
      <c r="O12" s="27">
        <f>IF(E12&gt;0,90-DEGREES(ATAN(Brick_Depth/((S12-Q12)/2))),0)</f>
        <v>4.874005177</v>
      </c>
      <c r="P12" s="25"/>
      <c r="Q12" s="31">
        <f>IF(E12&gt;0,PI()*H11*2/F12-Joint,0)</f>
        <v>3.232540932</v>
      </c>
      <c r="R12" s="31"/>
      <c r="S12" s="34">
        <f t="shared" si="2"/>
        <v>4</v>
      </c>
    </row>
    <row r="13" ht="18.0" customHeight="1">
      <c r="A13" s="22" t="s">
        <v>37</v>
      </c>
      <c r="B13" s="39">
        <f>Dome_height*0.63</f>
        <v>12.38555005</v>
      </c>
      <c r="C13" s="24" t="s">
        <v>38</v>
      </c>
      <c r="D13" s="25"/>
      <c r="E13" s="26">
        <f>IF(MAX(E$4:E12)&lt;Courses,E12+1,0)</f>
        <v>10</v>
      </c>
      <c r="F13" s="27">
        <f>IF(E13&gt;0,ROUND(PI()*(I12*2)/(S13+Joint),1),0)</f>
        <v>13</v>
      </c>
      <c r="G13" s="28"/>
      <c r="H13" s="29">
        <f>IF(E13&gt;0,IT*SIN(RADIANS(90-N13)),0)</f>
        <v>4.581917088</v>
      </c>
      <c r="I13" s="27">
        <f>IF(E13&gt;0,(IT+Brick_Depth)*SIN(RADIANS(90-N13)),0)</f>
        <v>5.630698522</v>
      </c>
      <c r="J13" s="27">
        <f>IF(E13&gt;0,IT*COS(RADIANS(90-N13)),0)</f>
        <v>19.11821215</v>
      </c>
      <c r="K13" s="27">
        <f>IF(E13&gt;0,(IT+Brick_Depth)*COS(RADIANS(90-N13)),0)</f>
        <v>23.49429002</v>
      </c>
      <c r="L13" s="30"/>
      <c r="M13" s="27">
        <f>IF(E13&gt;0,90-DEGREES(ATAN(Brick/(2*PI()*(I13-I14)/(F13*2)))),0)</f>
        <v>16.29971555</v>
      </c>
      <c r="N13" s="27">
        <f>IF(E13&gt;0,Brick/Dome_arc*Inner_arc_angle+N12,0)</f>
        <v>76.52255633</v>
      </c>
      <c r="O13" s="27">
        <f>IF(E13&gt;0,90-DEGREES(ATAN(Brick_Depth/((S13-Q13)/2))),0)</f>
        <v>4.804571294</v>
      </c>
      <c r="P13" s="25"/>
      <c r="Q13" s="31">
        <f>IF(E13&gt;0,PI()*H12*2/F13-Joint,0)</f>
        <v>3.243525759</v>
      </c>
      <c r="R13" s="31"/>
      <c r="S13" s="34">
        <f t="shared" si="2"/>
        <v>4</v>
      </c>
    </row>
    <row r="14" ht="28.5" customHeight="1">
      <c r="A14" s="22" t="s">
        <v>39</v>
      </c>
      <c r="B14" s="40">
        <f>(Diameter^2/(4*(Dome_height-Soldier))+Dome_height-Soldier)/2</f>
        <v>19.65960325</v>
      </c>
      <c r="C14" s="24" t="s">
        <v>40</v>
      </c>
      <c r="D14" s="25"/>
      <c r="E14" s="26">
        <f>IF(MAX(E$4:E13)&lt;Courses,E13+1,0)</f>
        <v>11</v>
      </c>
      <c r="F14" s="27">
        <f>IF(E14&gt;0,ROUND(PI()*(I13*2)/(S14+Joint),1),0)</f>
        <v>8.6</v>
      </c>
      <c r="G14" s="28"/>
      <c r="H14" s="29">
        <f>IF(E14&gt;0,IT*SIN(RADIANS(90-N14)),0)</f>
        <v>2.120313039</v>
      </c>
      <c r="I14" s="27">
        <f>IF(E14&gt;0,(IT+Brick_Depth)*SIN(RADIANS(90-N14)),0)</f>
        <v>2.605643722</v>
      </c>
      <c r="J14" s="27">
        <f>IF(E14&gt;0,IT*COS(RADIANS(90-N14)),0)</f>
        <v>19.54492959</v>
      </c>
      <c r="K14" s="27">
        <f>IF(E14&gt;0,(IT+Brick_Depth)*COS(RADIANS(90-N14)),0)</f>
        <v>24.01868127</v>
      </c>
      <c r="L14" s="30"/>
      <c r="M14" s="27">
        <f>IF(E14&gt;0,90-DEGREES(ATAN(Brick/(2*PI()*(I14-I15)/(F14*2)))),0)</f>
        <v>20.84374054</v>
      </c>
      <c r="N14" s="27">
        <f>IF(E14&gt;0,Brick/Dome_arc*Inner_arc_angle+N13,0)</f>
        <v>83.80853494</v>
      </c>
      <c r="O14" s="27">
        <f>IF(E14&gt;0,90-DEGREES(ATAN(Brick_Depth/((S14-Q14)/2))),0)</f>
        <v>4.937067798</v>
      </c>
      <c r="P14" s="25"/>
      <c r="Q14" s="31">
        <f>IF(E14&gt;0,PI()*H13*2/F14-Joint,0)</f>
        <v>3.222562108</v>
      </c>
      <c r="R14" s="31"/>
      <c r="S14" s="34">
        <f t="shared" si="2"/>
        <v>4</v>
      </c>
    </row>
    <row r="15" ht="18.0" customHeight="1">
      <c r="A15" s="22" t="s">
        <v>41</v>
      </c>
      <c r="B15" s="40">
        <f>DEGREES(ATAN(((Diameter/2)/(Dome_radius-Dome_height+Soldier))))</f>
        <v>82.69424047</v>
      </c>
      <c r="C15" s="24" t="s">
        <v>42</v>
      </c>
      <c r="D15" s="25"/>
      <c r="E15" s="26">
        <f>IF(MAX(E$4:E14)&lt;Courses,E14+1,0)</f>
        <v>0</v>
      </c>
      <c r="F15" s="27">
        <f>IF(E15&gt;0,ROUND(PI()*(I14*2)/(S15+Joint),1),0)</f>
        <v>0</v>
      </c>
      <c r="G15" s="28"/>
      <c r="H15" s="29">
        <f>IF(E15&gt;0,IT*SIN(RADIANS(90-N15)),0)</f>
        <v>0</v>
      </c>
      <c r="I15" s="27">
        <f>IF(E15&gt;0,(IT+Brick_Depth)*SIN(RADIANS(90-N15)),0)</f>
        <v>0</v>
      </c>
      <c r="J15" s="27">
        <f>IF(E15&gt;0,IT*COS(RADIANS(90-N15)),0)</f>
        <v>0</v>
      </c>
      <c r="K15" s="27">
        <f>IF(E15&gt;0,(IT+Brick_Depth)*COS(RADIANS(90-N15)),0)</f>
        <v>0</v>
      </c>
      <c r="L15" s="30"/>
      <c r="M15" s="27">
        <f>IF(E15&gt;0,90-DEGREES(ATAN(Brick/(2*PI()*(I15-I16)/(F15*2)))),0)</f>
        <v>0</v>
      </c>
      <c r="N15" s="27">
        <f>IF(E15&gt;0,Brick/Dome_arc*Inner_arc_angle+N14,0)</f>
        <v>0</v>
      </c>
      <c r="O15" s="27">
        <f>IF(E15&gt;0,90-DEGREES(ATAN(Brick_Depth/((S15-Q15)/2))),0)</f>
        <v>0</v>
      </c>
      <c r="P15" s="25"/>
      <c r="Q15" s="31">
        <f>IF(E15&gt;0,PI()*H14*2/F15-Joint,0)</f>
        <v>0</v>
      </c>
      <c r="R15" s="31"/>
      <c r="S15" s="34">
        <f t="shared" si="2"/>
        <v>0</v>
      </c>
    </row>
    <row r="16" ht="18.0" customHeight="1">
      <c r="A16" s="22" t="s">
        <v>43</v>
      </c>
      <c r="B16" s="40">
        <f>Inner_arc_angle/360*Dome_radius*2*PI()</f>
        <v>28.37444525</v>
      </c>
      <c r="C16" s="24" t="s">
        <v>44</v>
      </c>
      <c r="D16" s="25"/>
      <c r="E16" s="26">
        <f>IF(MAX(E$4:E15)&lt;Courses,E15+1,0)</f>
        <v>0</v>
      </c>
      <c r="F16" s="27">
        <f>IF(E16&gt;0,ROUND(PI()*(I15*2)/(S16+Joint),1),0)</f>
        <v>0</v>
      </c>
      <c r="G16" s="28"/>
      <c r="H16" s="29">
        <f>IF(E16&gt;0,IT*SIN(RADIANS(90-N16)),0)</f>
        <v>0</v>
      </c>
      <c r="I16" s="27">
        <f>IF(E16&gt;0,(IT+Brick_Depth)*SIN(RADIANS(90-N16)),0)</f>
        <v>0</v>
      </c>
      <c r="J16" s="27">
        <f>IF(E16&gt;0,IT*COS(RADIANS(90-N16)),0)</f>
        <v>0</v>
      </c>
      <c r="K16" s="27">
        <f>IF(E16&gt;0,(IT+Brick_Depth)*COS(RADIANS(90-N16)),0)</f>
        <v>0</v>
      </c>
      <c r="L16" s="30"/>
      <c r="M16" s="27">
        <f>IF(E16&gt;0,90-DEGREES(ATAN(Brick/(2*PI()*(I16-I17)/(F16*2)))),0)</f>
        <v>0</v>
      </c>
      <c r="N16" s="27">
        <f>IF(E16&gt;0,Brick/Dome_arc*Inner_arc_angle+N15,0)</f>
        <v>0</v>
      </c>
      <c r="O16" s="27">
        <f>IF(E16&gt;0,90-DEGREES(ATAN(Brick_Depth/((S16-Q16)/2))),0)</f>
        <v>0</v>
      </c>
      <c r="P16" s="25"/>
      <c r="Q16" s="31">
        <f>IF(E16&gt;0,PI()*H15*2/F16-Joint,0)</f>
        <v>0</v>
      </c>
      <c r="R16" s="31"/>
      <c r="S16" s="34">
        <f t="shared" si="2"/>
        <v>0</v>
      </c>
    </row>
    <row r="17" ht="18.0" customHeight="1">
      <c r="A17" s="22" t="s">
        <v>45</v>
      </c>
      <c r="B17" s="40">
        <f>ROUNDDOWN(Dome_arc/Brick,0)</f>
        <v>11</v>
      </c>
      <c r="C17" s="36" t="s">
        <v>46</v>
      </c>
      <c r="D17" s="25"/>
      <c r="E17" s="26">
        <f>IF(MAX(E$4:E16)&lt;Courses,E16+1,0)</f>
        <v>0</v>
      </c>
      <c r="F17" s="27">
        <f>IF(E17&gt;0,ROUND(PI()*(I16*2)/(S17+Joint),1),0)</f>
        <v>0</v>
      </c>
      <c r="G17" s="28"/>
      <c r="H17" s="29">
        <f>IF(E17&gt;0,IT*SIN(RADIANS(90-N17)),0)</f>
        <v>0</v>
      </c>
      <c r="I17" s="27">
        <f>IF(E17&gt;0,(IT+Brick_Depth)*SIN(RADIANS(90-N17)),0)</f>
        <v>0</v>
      </c>
      <c r="J17" s="27">
        <f>IF(E17&gt;0,IT*COS(RADIANS(90-N17)),0)</f>
        <v>0</v>
      </c>
      <c r="K17" s="27">
        <f>IF(E17&gt;0,(IT+Brick_Depth)*COS(RADIANS(90-N17)),0)</f>
        <v>0</v>
      </c>
      <c r="L17" s="30"/>
      <c r="M17" s="27">
        <f>IF(E17&gt;0,90-DEGREES(ATAN(Brick/(2*PI()*(I17-I18)/(F17*2)))),0)</f>
        <v>0</v>
      </c>
      <c r="N17" s="27">
        <f>IF(E17&gt;0,Brick/Dome_arc*Inner_arc_angle+N16,0)</f>
        <v>0</v>
      </c>
      <c r="O17" s="27">
        <f>IF(E17&gt;0,90-DEGREES(ATAN(Brick_Depth/((S17-Q17)/2))),0)</f>
        <v>0</v>
      </c>
      <c r="P17" s="25"/>
      <c r="Q17" s="31">
        <f>IF(E17&gt;0,PI()*H16*2/F17-Joint,0)</f>
        <v>0</v>
      </c>
      <c r="R17" s="31"/>
      <c r="S17" s="34">
        <f t="shared" si="2"/>
        <v>0</v>
      </c>
    </row>
    <row r="18" ht="18.0" customHeight="1">
      <c r="A18" s="22" t="s">
        <v>47</v>
      </c>
      <c r="B18" s="40">
        <f>2*(Dome_arc-Courses*Brick)</f>
        <v>1.748890496</v>
      </c>
      <c r="C18" s="36" t="s">
        <v>48</v>
      </c>
      <c r="D18" s="25"/>
      <c r="E18" s="26">
        <f>IF(MAX(E$4:E17)&lt;Courses,E17+1,0)</f>
        <v>0</v>
      </c>
      <c r="F18" s="27">
        <f>IF(E18&gt;0,ROUND(PI()*(I17*2)/(S18+Joint),1),0)</f>
        <v>0</v>
      </c>
      <c r="G18" s="28"/>
      <c r="H18" s="29">
        <f>IF(E18&gt;0,IT*SIN(RADIANS(90-N18)),0)</f>
        <v>0</v>
      </c>
      <c r="I18" s="27">
        <f>IF(E18&gt;0,(IT+Brick_Depth)*SIN(RADIANS(90-N18)),0)</f>
        <v>0</v>
      </c>
      <c r="J18" s="27">
        <f>IF(E18&gt;0,IT*COS(RADIANS(90-N18)),0)</f>
        <v>0</v>
      </c>
      <c r="K18" s="27">
        <f>IF(E18&gt;0,(IT+Brick_Depth)*COS(RADIANS(90-N18)),0)</f>
        <v>0</v>
      </c>
      <c r="L18" s="30"/>
      <c r="M18" s="27">
        <f>IF(E18&gt;0,90-DEGREES(ATAN(Brick/(2*PI()*(I18-I19)/(F18*2)))),0)</f>
        <v>0</v>
      </c>
      <c r="N18" s="27">
        <f>IF(E18&gt;0,Brick/Dome_arc*Inner_arc_angle+N17,0)</f>
        <v>0</v>
      </c>
      <c r="O18" s="27">
        <f>IF(E18&gt;0,90-DEGREES(ATAN(Brick_Depth/((S18-Q18)/2))),0)</f>
        <v>0</v>
      </c>
      <c r="P18" s="25"/>
      <c r="Q18" s="31">
        <f>IF(E18&gt;0,PI()*H17*2/F18-Joint,0)</f>
        <v>0</v>
      </c>
      <c r="R18" s="31"/>
      <c r="S18" s="34">
        <f t="shared" si="2"/>
        <v>0</v>
      </c>
    </row>
    <row r="19" ht="18.0" customHeight="1">
      <c r="A19" s="41" t="s">
        <v>49</v>
      </c>
      <c r="C19" s="36"/>
      <c r="D19" s="25"/>
      <c r="E19" s="26">
        <f>IF(MAX(E$4:E18)&lt;Courses,E18+1,0)</f>
        <v>0</v>
      </c>
      <c r="F19" s="27">
        <f>IF(E19&gt;0,ROUND(PI()*(I18*2)/(S19+Joint),1),0)</f>
        <v>0</v>
      </c>
      <c r="G19" s="28"/>
      <c r="H19" s="29">
        <f>IF(E19&gt;0,IT*SIN(RADIANS(90-N19)),0)</f>
        <v>0</v>
      </c>
      <c r="I19" s="27">
        <f>IF(E19&gt;0,(IT+Brick_Depth)*SIN(RADIANS(90-N19)),0)</f>
        <v>0</v>
      </c>
      <c r="J19" s="27">
        <f>IF(E19&gt;0,IT*COS(RADIANS(90-N19)),0)</f>
        <v>0</v>
      </c>
      <c r="K19" s="27">
        <f>IF(E19&gt;0,(IT+Brick_Depth)*COS(RADIANS(90-N19)),0)</f>
        <v>0</v>
      </c>
      <c r="L19" s="30"/>
      <c r="M19" s="27">
        <f>IF(E19&gt;0,90-DEGREES(ATAN(Brick/(2*PI()*(I19-I20)/(F19*2)))),0)</f>
        <v>0</v>
      </c>
      <c r="N19" s="27">
        <f>IF(E19&gt;0,Brick/Dome_arc*Inner_arc_angle+N18,0)</f>
        <v>0</v>
      </c>
      <c r="O19" s="27">
        <f>IF(E19&gt;0,90-DEGREES(ATAN(Brick_Depth/((S19-Q19)/2))),0)</f>
        <v>0</v>
      </c>
      <c r="P19" s="25"/>
      <c r="Q19" s="31">
        <f>IF(E19&gt;0,PI()*H18*2/F19-Joint,0)</f>
        <v>0</v>
      </c>
      <c r="R19" s="31"/>
      <c r="S19" s="34">
        <f t="shared" si="2"/>
        <v>0</v>
      </c>
    </row>
    <row r="20" ht="18.0" customHeight="1">
      <c r="A20" s="22" t="s">
        <v>50</v>
      </c>
      <c r="B20" s="42">
        <f>SUM(F3:F22)/2</f>
        <v>153</v>
      </c>
      <c r="C20" s="36" t="s">
        <v>51</v>
      </c>
      <c r="D20" s="25"/>
      <c r="E20" s="26">
        <f>IF(MAX(E$4:E19)&lt;Courses,E19+1,0)</f>
        <v>0</v>
      </c>
      <c r="F20" s="27">
        <f>IF(E20&gt;0,ROUND(PI()*(I19*2)/(S20+Joint),1),0)</f>
        <v>0</v>
      </c>
      <c r="G20" s="28"/>
      <c r="H20" s="29">
        <f>IF(E20&gt;0,IT*SIN(RADIANS(90-N20)),0)</f>
        <v>0</v>
      </c>
      <c r="I20" s="27">
        <f>IF(E20&gt;0,(IT+Brick_Depth)*SIN(RADIANS(90-N20)),0)</f>
        <v>0</v>
      </c>
      <c r="J20" s="27">
        <f>IF(E20&gt;0,IT*COS(RADIANS(90-N20)),0)</f>
        <v>0</v>
      </c>
      <c r="K20" s="27">
        <f>IF(E20&gt;0,(IT+Brick_Depth)*COS(RADIANS(90-N20)),0)</f>
        <v>0</v>
      </c>
      <c r="L20" s="30"/>
      <c r="M20" s="27">
        <f>IF(E20&gt;0,90-DEGREES(ATAN(Brick/(2*PI()*(I20-I21)/(F20*2)))),0)</f>
        <v>0</v>
      </c>
      <c r="N20" s="27">
        <f>IF(E20&gt;0,Brick/Dome_arc*Inner_arc_angle+N19,0)</f>
        <v>0</v>
      </c>
      <c r="O20" s="27">
        <f>IF(E20&gt;0,90-DEGREES(ATAN(Brick_Depth/((S20-Q20)/2))),0)</f>
        <v>0</v>
      </c>
      <c r="P20" s="25"/>
      <c r="Q20" s="31">
        <f>IF(E20&gt;0,PI()*H19*2/F20-Joint,0)</f>
        <v>0</v>
      </c>
      <c r="R20" s="31"/>
      <c r="S20" s="34">
        <f t="shared" si="2"/>
        <v>0</v>
      </c>
    </row>
    <row r="21" ht="18.0" customHeight="1">
      <c r="A21" s="22" t="s">
        <v>52</v>
      </c>
      <c r="B21" s="42">
        <f>ROUND((PI()*(Diameter/2)^2)/(Brick_Width*Brick_Depth*2),0)</f>
        <v>29</v>
      </c>
      <c r="C21" s="36" t="str">
        <f>"Assumes exposed face dimension of " &amp;TEXT(Brick_Width,"0.0")&amp;" x "&amp; TEXT(Brick_Depth*2,"0.0")&amp;" inches"</f>
        <v>Assumes exposed face dimension of 4.5 x 9.0 inches</v>
      </c>
      <c r="D21" s="25"/>
      <c r="E21" s="26">
        <f>IF(MAX(E$4:E20)&lt;Courses,E20+1,0)</f>
        <v>0</v>
      </c>
      <c r="F21" s="27">
        <f>IF(E21&gt;0,ROUND(PI()*(I20*2)/(S21+Joint),1),0)</f>
        <v>0</v>
      </c>
      <c r="G21" s="28"/>
      <c r="H21" s="29">
        <f>IF(E21&gt;0,IT*SIN(RADIANS(90-N21)),0)</f>
        <v>0</v>
      </c>
      <c r="I21" s="27">
        <f>IF(E21&gt;0,(IT+Brick_Depth)*SIN(RADIANS(90-N21)),0)</f>
        <v>0</v>
      </c>
      <c r="J21" s="27">
        <f>IF(E21&gt;0,IT*COS(RADIANS(90-N21)),0)</f>
        <v>0</v>
      </c>
      <c r="K21" s="27">
        <f>IF(E21&gt;0,(IT+Brick_Depth)*COS(RADIANS(90-N21)),0)</f>
        <v>0</v>
      </c>
      <c r="L21" s="30"/>
      <c r="M21" s="27">
        <f>IF(E21&gt;0,90-DEGREES(ATAN(Brick/(2*PI()*(I21-I22)/(F21*2)))),0)</f>
        <v>0</v>
      </c>
      <c r="N21" s="27">
        <f>IF(E21&gt;0,Brick/Dome_arc*Inner_arc_angle+N20,0)</f>
        <v>0</v>
      </c>
      <c r="O21" s="27">
        <f>IF(E21&gt;0,90-DEGREES(ATAN(Brick_Depth/((S21-Q21)/2))),0)</f>
        <v>0</v>
      </c>
      <c r="P21" s="25"/>
      <c r="Q21" s="31">
        <f>IF(E21&gt;0,PI()*H20*2/F21-Joint,0)</f>
        <v>0</v>
      </c>
      <c r="R21" s="31"/>
      <c r="S21" s="34">
        <f t="shared" si="2"/>
        <v>0</v>
      </c>
    </row>
    <row r="22" ht="18.0" customHeight="1">
      <c r="A22" s="22" t="s">
        <v>53</v>
      </c>
      <c r="B22" s="42"/>
      <c r="C22" s="36"/>
      <c r="D22" s="25"/>
      <c r="E22" s="26">
        <f>IF(MAX(E$4:E21)&lt;Courses,E21+1,0)</f>
        <v>0</v>
      </c>
      <c r="F22" s="27">
        <f>IF(E22&gt;0,ROUND(PI()*(I21*2)/(S22+Joint),1),0)</f>
        <v>0</v>
      </c>
      <c r="G22" s="28"/>
      <c r="H22" s="29">
        <f>IF(E22&gt;0,IT*SIN(RADIANS(90-N22)),0)</f>
        <v>0</v>
      </c>
      <c r="I22" s="27">
        <f>IF(E22&gt;0,(IT+Brick_Depth)*SIN(RADIANS(90-N22)),0)</f>
        <v>0</v>
      </c>
      <c r="J22" s="27">
        <f>IF(E22&gt;0,IT*COS(RADIANS(90-N22)),0)</f>
        <v>0</v>
      </c>
      <c r="K22" s="27">
        <f>IF(E22&gt;0,(IT+Brick_Depth)*COS(RADIANS(90-N22)),0)</f>
        <v>0</v>
      </c>
      <c r="L22" s="30"/>
      <c r="M22" s="27">
        <f>IF(E22&gt;0,90-DEGREES(ATAN(Brick/(2*PI()*(I22-I23)/(F22*2)))),0)</f>
        <v>0</v>
      </c>
      <c r="N22" s="27">
        <f>IF(E22&gt;0,Brick/Dome_arc*Inner_arc_angle+N21,0)</f>
        <v>0</v>
      </c>
      <c r="O22" s="27">
        <f>IF(E22&gt;0,90-DEGREES(ATAN(Brick_Depth/((S22-Q22)/2))),0)</f>
        <v>0</v>
      </c>
      <c r="P22" s="25"/>
      <c r="Q22" s="31">
        <f>IF(E22&gt;0,PI()*H21*2/F22-Joint,0)</f>
        <v>0</v>
      </c>
      <c r="R22" s="31"/>
      <c r="S22" s="34">
        <f t="shared" si="2"/>
        <v>0</v>
      </c>
    </row>
    <row r="23" ht="14.25" customHeight="1">
      <c r="A23" s="22" t="s">
        <v>54</v>
      </c>
      <c r="B23" s="42">
        <f>ROUND((PI()*(Diameter/2)^2)/(Brick*Brick_Depth*2),0)</f>
        <v>53</v>
      </c>
      <c r="C23" s="36" t="str">
        <f>"Assumes exposed face dimension of " &amp;TEXT(Brick,"0.0")&amp;" x "&amp; TEXT(Brick_Depth*2,"0.0")&amp;" inches (running bond)"</f>
        <v>Assumes exposed face dimension of 2.5 x 9.0 inches (running bond)</v>
      </c>
      <c r="D23" s="25"/>
      <c r="E23" s="43"/>
      <c r="F23" s="30"/>
      <c r="G23" s="43"/>
      <c r="H23" s="25"/>
      <c r="K23" s="30"/>
      <c r="L23" s="30"/>
      <c r="M23" s="44" t="s">
        <v>55</v>
      </c>
      <c r="N23" s="45" t="s">
        <v>56</v>
      </c>
      <c r="O23" s="30"/>
      <c r="P23" s="25"/>
      <c r="Q23" s="30"/>
      <c r="R23" s="30"/>
    </row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</sheetData>
  <mergeCells count="7">
    <mergeCell ref="A1:C1"/>
    <mergeCell ref="E1:E2"/>
    <mergeCell ref="F1:F2"/>
    <mergeCell ref="H1:K1"/>
    <mergeCell ref="M1:O1"/>
    <mergeCell ref="Q1:S1"/>
    <mergeCell ref="A19:B19"/>
  </mergeCells>
  <hyperlinks>
    <hyperlink r:id="rId1" ref="M23"/>
    <hyperlink r:id="rId2" ref="N23"/>
  </hyperlin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75"/>
  <cols>
    <col customWidth="1" min="1" max="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75"/>
  <cols>
    <col customWidth="1" min="1" max="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</sheetData>
  <drawing r:id="rId1"/>
</worksheet>
</file>